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K:\AGU-Management\OS-all\Konformitäts-Deklarationen\Metalle aus Konflikt-Regionen\10 Zinn\"/>
    </mc:Choice>
  </mc:AlternateContent>
  <bookViews>
    <workbookView xWindow="0" yWindow="0" windowWidth="21570" windowHeight="1023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7" i="5" l="1"/>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C263" i="5"/>
  <c r="V263" i="5" s="1"/>
  <c r="R263" i="5" s="1"/>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C231" i="5"/>
  <c r="V231" i="5" s="1"/>
  <c r="H231" i="5" s="1"/>
  <c r="B231" i="5"/>
  <c r="C230" i="5"/>
  <c r="V230" i="5" s="1"/>
  <c r="B230" i="5"/>
  <c r="S230" i="5" s="1"/>
  <c r="C229" i="5"/>
  <c r="V229" i="5" s="1"/>
  <c r="B229" i="5"/>
  <c r="C228" i="5"/>
  <c r="B228" i="5"/>
  <c r="C227" i="5"/>
  <c r="V227" i="5" s="1"/>
  <c r="B227" i="5"/>
  <c r="C226" i="5"/>
  <c r="V226" i="5" s="1"/>
  <c r="B226" i="5"/>
  <c r="T226" i="5" s="1"/>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C37" i="5"/>
  <c r="V37" i="5" s="1"/>
  <c r="R37" i="5" s="1"/>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C22" i="5"/>
  <c r="V22" i="5" s="1"/>
  <c r="I22" i="5" s="1"/>
  <c r="B22" i="5"/>
  <c r="S22" i="5" s="1"/>
  <c r="C21" i="5"/>
  <c r="V21" i="5" s="1"/>
  <c r="B21" i="5"/>
  <c r="V20" i="5"/>
  <c r="R20" i="5" s="1"/>
  <c r="B20" i="5"/>
  <c r="T20" i="5" s="1"/>
  <c r="C19" i="5"/>
  <c r="V19" i="5" s="1"/>
  <c r="B19" i="5"/>
  <c r="T19" i="5" s="1"/>
  <c r="AB18" i="5"/>
  <c r="V18" i="5"/>
  <c r="I18"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AB410" i="5" l="1"/>
  <c r="R480" i="5"/>
  <c r="AB594" i="5"/>
  <c r="AB1022" i="5"/>
  <c r="S2015" i="5"/>
  <c r="S2038" i="5"/>
  <c r="T2163" i="5"/>
  <c r="AB324" i="5"/>
  <c r="S414" i="5"/>
  <c r="T684" i="5"/>
  <c r="AB1401" i="5"/>
  <c r="T1519" i="5"/>
  <c r="T1684" i="5"/>
  <c r="S1770" i="5"/>
  <c r="T1781" i="5"/>
  <c r="S2140" i="5"/>
  <c r="T2317" i="5"/>
  <c r="T76" i="5"/>
  <c r="T391" i="5"/>
  <c r="AB446" i="5"/>
  <c r="AB450" i="5"/>
  <c r="AB481" i="5"/>
  <c r="R528" i="5"/>
  <c r="AB720" i="5"/>
  <c r="AB858" i="5"/>
  <c r="T1078" i="5"/>
  <c r="S1748" i="5"/>
  <c r="T1883" i="5"/>
  <c r="S120" i="5"/>
  <c r="T250" i="5"/>
  <c r="S858" i="5"/>
  <c r="AB902" i="5"/>
  <c r="T1098" i="5"/>
  <c r="T1244" i="5"/>
  <c r="S1398" i="5"/>
  <c r="AB1353" i="5"/>
  <c r="E1479" i="5"/>
  <c r="X1479" i="5" s="1"/>
  <c r="AB1624" i="5"/>
  <c r="AB841" i="5"/>
  <c r="S903" i="5"/>
  <c r="T1407" i="5"/>
  <c r="S1465" i="5"/>
  <c r="T1624" i="5"/>
  <c r="T1675" i="5"/>
  <c r="AB1691" i="5"/>
  <c r="AB1731" i="5"/>
  <c r="AB1757" i="5"/>
  <c r="S2068" i="5"/>
  <c r="AB2088" i="5"/>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F1681" i="5" s="1"/>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H872" i="5" s="1"/>
  <c r="AB872" i="5"/>
  <c r="AB882" i="5"/>
  <c r="T882" i="5"/>
  <c r="S882" i="5"/>
  <c r="T950" i="5"/>
  <c r="S950" i="5"/>
  <c r="F975" i="5"/>
  <c r="H975" i="5"/>
  <c r="H1103" i="5"/>
  <c r="G1103" i="5"/>
  <c r="F1103" i="5"/>
  <c r="H134" i="5"/>
  <c r="V175" i="5"/>
  <c r="I255" i="5"/>
  <c r="G257" i="5"/>
  <c r="G263"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I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R1640" i="5" s="1"/>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G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T647" i="5"/>
  <c r="AB653" i="5"/>
  <c r="AB657" i="5"/>
  <c r="G660" i="5"/>
  <c r="S663" i="5"/>
  <c r="F672" i="5"/>
  <c r="I676" i="5"/>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I1149" i="5" s="1"/>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G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R1071" i="5" s="1"/>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J1735" i="5"/>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57" i="5"/>
  <c r="X2257" i="5" s="1"/>
  <c r="E2261" i="5"/>
  <c r="X2261" i="5" s="1"/>
  <c r="S2270" i="5"/>
  <c r="AB2277" i="5"/>
  <c r="AB2293" i="5"/>
  <c r="V2293" i="5"/>
  <c r="J2293" i="5" s="1"/>
  <c r="S2296" i="5"/>
  <c r="I2303" i="5"/>
  <c r="F2309" i="5"/>
  <c r="V2310" i="5"/>
  <c r="E2310" i="5" s="1"/>
  <c r="X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J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80"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H775" i="5"/>
  <c r="H785" i="5"/>
  <c r="F785" i="5"/>
  <c r="E785" i="5"/>
  <c r="X785" i="5" s="1"/>
  <c r="J785" i="5"/>
  <c r="I785" i="5"/>
  <c r="J791" i="5"/>
  <c r="I791" i="5"/>
  <c r="H791" i="5"/>
  <c r="F791" i="5"/>
  <c r="E791" i="5"/>
  <c r="X791" i="5" s="1"/>
  <c r="H799" i="5"/>
  <c r="H680"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I680" i="5"/>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J680"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I872" i="5"/>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J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G1082" i="5"/>
  <c r="I1083" i="5"/>
  <c r="I1087" i="5"/>
  <c r="G1090" i="5"/>
  <c r="I1091" i="5"/>
  <c r="G1094" i="5"/>
  <c r="I1095" i="5"/>
  <c r="G1098" i="5"/>
  <c r="I1099" i="5"/>
  <c r="G1102" i="5"/>
  <c r="I1103" i="5"/>
  <c r="G1106" i="5"/>
  <c r="G1110" i="5"/>
  <c r="I1111" i="5"/>
  <c r="G1114" i="5"/>
  <c r="G1118" i="5"/>
  <c r="I1119" i="5"/>
  <c r="G1122" i="5"/>
  <c r="I1123" i="5"/>
  <c r="G1126" i="5"/>
  <c r="I1127" i="5"/>
  <c r="G1130" i="5"/>
  <c r="AB1135" i="5"/>
  <c r="R1136" i="5"/>
  <c r="G1139" i="5"/>
  <c r="AB1142" i="5"/>
  <c r="R1143" i="5"/>
  <c r="V1146" i="5"/>
  <c r="G1146" i="5" s="1"/>
  <c r="I1147"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5"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H1492" i="5"/>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V1691" i="5"/>
  <c r="G1691" i="5" s="1"/>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5" i="5"/>
  <c r="J1689" i="5"/>
  <c r="J1693" i="5"/>
  <c r="J1701" i="5"/>
  <c r="J1705" i="5"/>
  <c r="J1709" i="5"/>
  <c r="J1713"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5" i="5"/>
  <c r="R1689"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4" i="5"/>
  <c r="J2048" i="5"/>
  <c r="V2049" i="5"/>
  <c r="G2049" i="5" s="1"/>
  <c r="H2053" i="5"/>
  <c r="V2054" i="5"/>
  <c r="G2054" i="5" s="1"/>
  <c r="S2055" i="5"/>
  <c r="G2056" i="5"/>
  <c r="T2057" i="5"/>
  <c r="S2057" i="5"/>
  <c r="V2062" i="5"/>
  <c r="G2062" i="5" s="1"/>
  <c r="S2063" i="5"/>
  <c r="G2064" i="5"/>
  <c r="T2065" i="5"/>
  <c r="S2065" i="5"/>
  <c r="H2069"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20" i="5"/>
  <c r="R2024" i="5"/>
  <c r="R2028" i="5"/>
  <c r="R2032" i="5"/>
  <c r="R2036" i="5"/>
  <c r="R2040" i="5"/>
  <c r="R2044" i="5"/>
  <c r="R2048" i="5"/>
  <c r="V2052" i="5"/>
  <c r="I2053" i="5"/>
  <c r="T2055" i="5"/>
  <c r="V2060" i="5"/>
  <c r="T2063" i="5"/>
  <c r="V2068" i="5"/>
  <c r="I2069"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V2063" i="5"/>
  <c r="J2069"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9"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B6" i="5" l="1"/>
  <c r="C6" i="5"/>
  <c r="B5" i="5"/>
  <c r="C5" i="5"/>
  <c r="C11" i="6"/>
  <c r="C12" i="6"/>
  <c r="C4" i="6"/>
  <c r="C10" i="6"/>
  <c r="C9" i="6"/>
  <c r="C8" i="6"/>
  <c r="C7" i="6"/>
  <c r="E2386" i="5"/>
  <c r="X2386" i="5" s="1"/>
  <c r="R2189" i="5"/>
  <c r="E2016" i="5"/>
  <c r="X2016" i="5" s="1"/>
  <c r="I2061" i="5"/>
  <c r="G1735" i="5"/>
  <c r="I1492" i="5"/>
  <c r="E1269" i="5"/>
  <c r="X1269" i="5" s="1"/>
  <c r="G1352" i="5"/>
  <c r="R1149" i="5"/>
  <c r="F872" i="5"/>
  <c r="H696" i="5"/>
  <c r="I799" i="5"/>
  <c r="I775" i="5"/>
  <c r="R403" i="5"/>
  <c r="F2189" i="5"/>
  <c r="R1735" i="5"/>
  <c r="H1681" i="5"/>
  <c r="F2310" i="5"/>
  <c r="F1640" i="5"/>
  <c r="I1352" i="5"/>
  <c r="E1149" i="5"/>
  <c r="X1149" i="5" s="1"/>
  <c r="I1133" i="5"/>
  <c r="R872" i="5"/>
  <c r="G696" i="5"/>
  <c r="I678" i="5"/>
  <c r="H678" i="5"/>
  <c r="J799" i="5"/>
  <c r="J775" i="5"/>
  <c r="E403" i="5"/>
  <c r="X403" i="5" s="1"/>
  <c r="J872" i="5"/>
  <c r="H2289" i="5"/>
  <c r="E1681" i="5"/>
  <c r="X1681" i="5" s="1"/>
  <c r="J2077" i="5"/>
  <c r="I2077" i="5"/>
  <c r="H2061" i="5"/>
  <c r="J2016" i="5"/>
  <c r="H1967" i="5"/>
  <c r="J1681" i="5"/>
  <c r="H1724" i="5"/>
  <c r="G1640" i="5"/>
  <c r="J1133" i="5"/>
  <c r="E872" i="5"/>
  <c r="X872" i="5" s="1"/>
  <c r="R799" i="5"/>
  <c r="J2197" i="5"/>
  <c r="R2077" i="5"/>
  <c r="I1967" i="5"/>
  <c r="R1693" i="5"/>
  <c r="I1724" i="5"/>
  <c r="H1640" i="5"/>
  <c r="H1339" i="5"/>
  <c r="H1269" i="5"/>
  <c r="R1133" i="5"/>
  <c r="F696" i="5"/>
  <c r="E1735" i="5"/>
  <c r="X1735" i="5" s="1"/>
  <c r="B32" i="6"/>
  <c r="H2310" i="5"/>
  <c r="J2318" i="5"/>
  <c r="J1967" i="5"/>
  <c r="J1724" i="5"/>
  <c r="I1640" i="5"/>
  <c r="E1198" i="5"/>
  <c r="X1198" i="5" s="1"/>
  <c r="R1079" i="5"/>
  <c r="J1339" i="5"/>
  <c r="I1079" i="5"/>
  <c r="F1735" i="5"/>
  <c r="E678" i="5"/>
  <c r="X678" i="5" s="1"/>
  <c r="J644" i="5"/>
  <c r="E265" i="5"/>
  <c r="X265" i="5" s="1"/>
  <c r="R2310" i="5"/>
  <c r="E2289" i="5"/>
  <c r="X2289" i="5" s="1"/>
  <c r="R2318" i="5"/>
  <c r="R2061" i="5"/>
  <c r="R1967" i="5"/>
  <c r="H1786" i="5"/>
  <c r="R1724" i="5"/>
  <c r="E1492" i="5"/>
  <c r="X1492" i="5" s="1"/>
  <c r="J1640" i="5"/>
  <c r="F1198" i="5"/>
  <c r="R1339" i="5"/>
  <c r="G1149" i="5"/>
  <c r="J696" i="5"/>
  <c r="R775" i="5"/>
  <c r="E799" i="5"/>
  <c r="X799" i="5" s="1"/>
  <c r="E775" i="5"/>
  <c r="X775" i="5" s="1"/>
  <c r="F678" i="5"/>
  <c r="J1492" i="5"/>
  <c r="H1735" i="5"/>
  <c r="E720" i="5"/>
  <c r="X720" i="5" s="1"/>
  <c r="E2318" i="5"/>
  <c r="X2318" i="5" s="1"/>
  <c r="J2061" i="5"/>
  <c r="E1967" i="5"/>
  <c r="X1967" i="5" s="1"/>
  <c r="R1681" i="5"/>
  <c r="F1786" i="5"/>
  <c r="E1724" i="5"/>
  <c r="X1724" i="5" s="1"/>
  <c r="F1492" i="5"/>
  <c r="E1339" i="5"/>
  <c r="X1339" i="5" s="1"/>
  <c r="J678" i="5"/>
  <c r="I696" i="5"/>
  <c r="F799" i="5"/>
  <c r="F775" i="5"/>
  <c r="H403" i="5"/>
  <c r="F265" i="5"/>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K66"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F47" i="6"/>
  <c r="F37" i="6"/>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V6" i="5" l="1"/>
  <c r="AB6" i="5"/>
  <c r="V5" i="5"/>
  <c r="AB5" i="5"/>
  <c r="H37" i="6"/>
  <c r="D37" i="6" s="1"/>
  <c r="H45" i="6"/>
  <c r="D45" i="6" s="1"/>
  <c r="H50" i="6"/>
  <c r="D50" i="6" s="1"/>
  <c r="H52" i="6"/>
  <c r="D52" i="6"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44" i="6"/>
  <c r="R6" i="5" l="1"/>
  <c r="H6" i="5"/>
  <c r="I6" i="5"/>
  <c r="F6" i="5"/>
  <c r="J6" i="5"/>
  <c r="E6" i="5"/>
  <c r="G6" i="5"/>
  <c r="F5" i="5"/>
  <c r="R5" i="5"/>
  <c r="E5" i="5"/>
  <c r="J5" i="5"/>
  <c r="I5" i="5"/>
  <c r="G5" i="5"/>
  <c r="C50" i="6"/>
  <c r="C45"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T6" i="5"/>
  <c r="T5" i="5"/>
  <c r="X6" i="5" l="1"/>
  <c r="X5" i="5"/>
  <c r="X13" i="5"/>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 r="S6" i="5"/>
  <c r="S5"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<sst xmlns="http://schemas.openxmlformats.org/spreadsheetml/2006/main" count="21811" uniqueCount="15526">
  <si>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</si>
  <si>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</si>
  <si>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</si>
  <si>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</si>
  <si>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</si>
  <si>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</si>
  <si>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</si>
  <si>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</si>
  <si>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</si>
  <si>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</si>
  <si>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</si>
  <si>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</si>
  <si>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</si>
  <si>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</si>
  <si>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</si>
  <si>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</si>
  <si>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</si>
  <si>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</si>
  <si>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</si>
  <si>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</si>
  <si>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</si>
  <si>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</si>
  <si>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</si>
  <si>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</si>
  <si>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</si>
  <si>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</si>
  <si>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</si>
  <si>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</si>
  <si>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</si>
  <si>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</si>
  <si>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</si>
  <si>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</si>
  <si>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</si>
  <si>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</si>
  <si>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</si>
  <si>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</si>
  <si>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</si>
  <si>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</si>
  <si>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</si>
  <si>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</si>
  <si>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</si>
  <si>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</si>
  <si>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</si>
  <si>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</si>
  <si>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</si>
  <si>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</si>
  <si>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</si>
  <si>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</si>
  <si>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</si>
  <si>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</si>
  <si>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</si>
  <si>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</si>
  <si>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</si>
  <si>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</si>
  <si>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</si>
  <si>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</si>
  <si>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</si>
  <si>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</si>
  <si>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</si>
  <si>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</si>
  <si>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</si>
  <si>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</si>
  <si>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</si>
  <si>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</si>
  <si>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</si>
  <si>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</si>
  <si>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</si>
  <si>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</si>
  <si>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</si>
  <si>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</si>
  <si>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</si>
  <si>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</si>
  <si>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</si>
  <si>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</si>
  <si>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</si>
  <si>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</si>
  <si>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</si>
  <si>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</si>
  <si>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</si>
  <si>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</si>
  <si>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</si>
  <si>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</si>
  <si>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</si>
  <si>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</si>
  <si>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</si>
  <si>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</si>
  <si>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</si>
  <si>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</si>
  <si>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</si>
  <si>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</si>
  <si>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</si>
  <si>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</si>
  <si>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</si>
  <si>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</si>
  <si>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</si>
  <si>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</si>
  <si>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</si>
  <si>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</si>
  <si>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</si>
  <si>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</si>
  <si>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</si>
  <si>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</si>
  <si>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</si>
  <si>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</si>
  <si>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</si>
  <si>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</si>
  <si>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</si>
  <si>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</si>
  <si>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</si>
  <si>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</si>
  <si>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</si>
  <si>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</si>
  <si>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</si>
  <si>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</si>
  <si>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</si>
  <si>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</si>
  <si>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</si>
  <si>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</si>
  <si>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</si>
  <si>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</si>
  <si>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</si>
  <si>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</si>
  <si>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</si>
  <si>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</si>
  <si>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</si>
  <si>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</si>
  <si>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</si>
  <si>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</si>
  <si>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</si>
  <si>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</si>
  <si>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</si>
  <si>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</si>
  <si>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</si>
  <si>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</si>
  <si>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</si>
  <si>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</si>
  <si>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</si>
  <si>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</si>
  <si>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</si>
  <si>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</si>
  <si>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</si>
  <si>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</si>
  <si>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</si>
  <si>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</si>
  <si>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</si>
  <si>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</si>
  <si>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</si>
  <si>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</si>
  <si>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</si>
  <si>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</si>
  <si>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</si>
  <si>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</si>
  <si>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</si>
  <si>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</si>
  <si>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</si>
  <si>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</si>
  <si>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</si>
  <si>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</si>
  <si>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</si>
  <si>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</si>
  <si>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</si>
  <si>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</si>
  <si>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</si>
  <si>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</si>
  <si>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</si>
  <si>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</si>
  <si>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</si>
  <si>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</si>
  <si>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</si>
  <si>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</si>
  <si>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</si>
  <si>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</si>
  <si>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</si>
  <si>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</si>
  <si>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</si>
  <si>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</si>
  <si>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</si>
  <si>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</si>
  <si>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</si>
  <si>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</si>
  <si>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</si>
  <si>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</si>
  <si>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</si>
  <si>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</si>
  <si>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</si>
  <si>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</si>
  <si>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</si>
  <si>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</si>
  <si>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</si>
  <si>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</si>
  <si>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</si>
  <si>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</si>
  <si>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</si>
  <si>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</si>
  <si>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</si>
  <si>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</si>
  <si>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</si>
  <si>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</si>
  <si>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</si>
  <si>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</si>
  <si>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</si>
  <si>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</si>
  <si>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</si>
  <si>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</si>
  <si>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</si>
  <si>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</si>
  <si>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</si>
  <si>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</si>
  <si>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</si>
  <si>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</si>
  <si>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</si>
  <si>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</si>
  <si>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</si>
  <si>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</si>
  <si>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</si>
  <si>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</si>
  <si>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</si>
  <si>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</si>
  <si>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</si>
  <si>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</si>
  <si>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</si>
  <si>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</si>
  <si>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</si>
  <si>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</si>
  <si>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</si>
  <si>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</si>
  <si>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</si>
  <si>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</si>
  <si>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</si>
  <si>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</si>
  <si>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</si>
  <si>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</si>
  <si>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</si>
  <si>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</si>
  <si>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</si>
  <si>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</si>
  <si>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</si>
  <si>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</si>
  <si>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</si>
  <si>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</si>
  <si>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</si>
  <si>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</si>
  <si>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</si>
  <si>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</si>
  <si>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</si>
  <si>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</si>
  <si>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</si>
  <si>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</si>
  <si>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</si>
  <si>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</si>
  <si>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</si>
  <si>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</si>
  <si>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</si>
  <si>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</si>
  <si>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</si>
  <si>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</si>
  <si>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</si>
  <si>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</si>
  <si>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</si>
  <si>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</si>
  <si>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</si>
  <si>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</si>
  <si>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</si>
  <si>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</si>
  <si>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</si>
  <si>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</si>
  <si>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</si>
  <si>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</si>
  <si>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</si>
  <si>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</si>
  <si>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</si>
  <si>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</si>
  <si>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</si>
  <si>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</si>
  <si>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</si>
  <si>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</si>
  <si>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</si>
  <si>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</si>
  <si>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</si>
  <si>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</si>
  <si>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</si>
  <si>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</si>
  <si>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</si>
  <si>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</si>
  <si>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</si>
  <si>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</si>
  <si>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</si>
  <si>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</si>
  <si>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</si>
  <si>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</si>
  <si>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</si>
  <si>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</si>
  <si>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</si>
  <si>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</si>
  <si>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</si>
  <si>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</si>
  <si>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</si>
  <si>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</si>
  <si>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</si>
  <si>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</si>
  <si>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</si>
  <si>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</si>
  <si>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</si>
  <si>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</si>
  <si>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</si>
  <si>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</si>
  <si>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</si>
  <si>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</si>
  <si>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</si>
  <si>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</si>
  <si>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</si>
  <si>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</si>
  <si>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</si>
  <si>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</si>
  <si>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</si>
  <si>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</si>
  <si>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</si>
  <si>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</si>
  <si>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</si>
  <si>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</si>
  <si>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</si>
  <si>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</si>
  <si>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</si>
  <si>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</si>
  <si>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</si>
  <si>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</si>
  <si>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</si>
  <si>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</si>
  <si>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</si>
  <si>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</si>
  <si>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</si>
  <si>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</si>
  <si>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</si>
  <si>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</si>
  <si>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</si>
  <si>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</si>
  <si>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</si>
  <si>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</si>
  <si>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</si>
  <si>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</si>
  <si>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</si>
  <si>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</si>
  <si>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</si>
  <si>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</si>
  <si>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</si>
  <si>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</si>
  <si>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</si>
  <si>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</si>
  <si>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</si>
  <si>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</si>
  <si>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</si>
  <si>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</si>
  <si>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</si>
  <si>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</si>
  <si>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</si>
  <si>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</si>
  <si>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</si>
  <si>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</si>
  <si>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</si>
  <si>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</si>
  <si>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</si>
  <si>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</si>
  <si>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</si>
  <si>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</si>
  <si>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</si>
  <si>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</si>
  <si>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</si>
  <si>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</si>
  <si>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</si>
  <si>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</si>
  <si>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</si>
  <si>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</si>
  <si>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</si>
  <si>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</si>
  <si>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</si>
  <si>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</si>
  <si>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</si>
  <si>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</si>
  <si>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</si>
  <si>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</si>
  <si>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</si>
  <si>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</si>
  <si>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</si>
  <si>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</si>
  <si>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</si>
  <si>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</si>
  <si>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</si>
  <si>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</si>
  <si>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</si>
  <si>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</si>
  <si>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</si>
  <si>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</si>
  <si>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</si>
  <si>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</si>
  <si>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</si>
  <si>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</si>
  <si>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</si>
  <si>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</si>
  <si>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</si>
  <si>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</si>
  <si>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</si>
  <si>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</si>
  <si>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</si>
  <si>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</si>
  <si>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</si>
  <si>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</si>
  <si>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</si>
  <si>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</si>
  <si>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</si>
  <si>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</si>
  <si>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</si>
  <si>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</si>
  <si>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</si>
  <si>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</si>
  <si>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</si>
  <si>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</si>
  <si>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</si>
  <si>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</si>
  <si>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</si>
  <si>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</si>
  <si>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</si>
  <si>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</si>
  <si>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</si>
  <si>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</si>
  <si>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</si>
  <si>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</si>
  <si>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</si>
  <si>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</si>
  <si>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</si>
  <si>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</si>
  <si>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</si>
  <si>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</si>
  <si>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</si>
  <si>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</si>
  <si>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</si>
  <si>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</si>
  <si>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</si>
  <si>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</si>
  <si>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</si>
  <si>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</si>
  <si>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</si>
  <si>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</si>
  <si>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</si>
  <si>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</si>
  <si>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</si>
  <si>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</si>
  <si>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</si>
  <si>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</si>
  <si>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</si>
  <si>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</si>
  <si>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</si>
  <si>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</si>
  <si>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</si>
  <si>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</si>
  <si>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</si>
  <si>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</si>
  <si>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</si>
  <si>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</si>
  <si>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</si>
  <si>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</si>
  <si>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</si>
  <si>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</si>
  <si>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</si>
  <si>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</si>
  <si>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</si>
  <si>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</si>
  <si>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</si>
  <si>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</si>
  <si>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</si>
  <si>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</si>
  <si>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</si>
  <si>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</si>
  <si>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</si>
  <si>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</si>
  <si>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</si>
  <si>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</si>
  <si>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</si>
  <si>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</si>
  <si>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</si>
  <si>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</si>
  <si>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</si>
  <si>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</si>
  <si>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</si>
  <si>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</si>
  <si>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</si>
  <si>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</si>
  <si>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</si>
  <si>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</si>
  <si>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</si>
  <si>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</si>
  <si>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</si>
  <si>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</si>
  <si>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</si>
  <si>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</si>
  <si>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</si>
  <si>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</si>
  <si>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</si>
  <si>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</si>
  <si>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</si>
  <si>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</si>
  <si>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</si>
  <si>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</si>
  <si>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</si>
  <si>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</si>
  <si>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</si>
  <si>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</si>
  <si>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</si>
  <si>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</si>
  <si>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</si>
  <si>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</si>
  <si>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</si>
  <si>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</si>
  <si>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</si>
  <si>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</si>
  <si>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</si>
  <si>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</si>
  <si>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</si>
  <si>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</si>
  <si>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</si>
  <si>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</si>
  <si>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</si>
  <si>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</si>
  <si>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</si>
  <si>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</si>
  <si>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</si>
  <si>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</si>
  <si>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</si>
  <si>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</si>
  <si>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</si>
  <si>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</si>
  <si>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</si>
  <si>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</si>
  <si>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</si>
  <si>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</si>
  <si>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</si>
  <si>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</si>
  <si>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</si>
  <si>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</si>
  <si>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</si>
  <si>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</si>
  <si>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</si>
  <si>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</si>
  <si>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</si>
  <si>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</si>
  <si>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</si>
  <si>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</si>
  <si>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</si>
  <si>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</si>
  <si>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</si>
  <si>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</si>
  <si>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</si>
  <si>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</si>
  <si>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</si>
  <si>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</si>
  <si>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</si>
  <si>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</si>
  <si>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</si>
  <si>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</si>
  <si>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</si>
  <si>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</si>
  <si>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</si>
  <si>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</si>
  <si>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</si>
  <si>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</si>
  <si>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</si>
  <si>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</si>
  <si>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</si>
  <si>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</si>
  <si>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</si>
  <si>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</si>
  <si>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</si>
  <si>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</si>
  <si>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</si>
  <si>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</si>
  <si>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</si>
  <si>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</si>
  <si>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</si>
  <si>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</si>
  <si>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</si>
  <si>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</si>
  <si>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</si>
  <si>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</si>
  <si>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</si>
  <si>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</si>
  <si>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</si>
  <si>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</si>
  <si>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</si>
  <si>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</si>
  <si>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</si>
  <si>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</si>
  <si>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</si>
  <si>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</si>
  <si>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</si>
  <si>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</si>
  <si>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</si>
  <si>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</si>
  <si>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</si>
  <si>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</si>
  <si>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</si>
  <si>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</si>
  <si>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</si>
  <si>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</si>
  <si>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</si>
  <si>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</si>
  <si>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</si>
  <si>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</si>
  <si>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</si>
  <si>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</si>
  <si>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</si>
  <si>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</si>
  <si>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</si>
  <si>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</si>
  <si>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</si>
  <si>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</si>
  <si>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</si>
  <si>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</si>
  <si>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</si>
  <si>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</si>
  <si>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</si>
  <si>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</si>
  <si>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</si>
  <si>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</si>
  <si>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</si>
  <si>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</si>
  <si>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</si>
  <si>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</si>
  <si>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</si>
  <si>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</si>
  <si>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</si>
  <si>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</si>
  <si>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</si>
  <si>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</si>
  <si>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</si>
  <si>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</si>
  <si>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</si>
  <si>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</si>
  <si>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</si>
  <si>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</si>
  <si>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</si>
  <si>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</si>
  <si>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</si>
  <si>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</si>
  <si>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</si>
  <si>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</si>
  <si>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</si>
  <si>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</si>
  <si>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</si>
  <si>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</si>
  <si>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</si>
  <si>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</si>
  <si>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</si>
  <si>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</si>
  <si>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</si>
  <si>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</si>
  <si>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</si>
  <si>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</si>
  <si>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</si>
  <si>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</si>
  <si>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</si>
  <si>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</si>
  <si>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</si>
  <si>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</si>
  <si>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</si>
  <si>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</si>
  <si>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</si>
  <si>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</si>
  <si>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</si>
  <si>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</si>
  <si>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</si>
  <si>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</si>
  <si>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</si>
  <si>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</si>
  <si>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</si>
  <si>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</si>
  <si>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</si>
  <si>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</si>
  <si>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</si>
  <si>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</si>
  <si>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</si>
  <si>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</si>
  <si>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</si>
  <si>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</si>
  <si>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</si>
  <si>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</si>
  <si>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</si>
  <si>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</si>
  <si>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</si>
  <si>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</si>
  <si>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</si>
  <si>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</si>
  <si>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</si>
  <si>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</si>
  <si>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</si>
  <si>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</si>
  <si>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</si>
  <si>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</si>
  <si>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</si>
  <si>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</si>
  <si>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</si>
  <si>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</si>
  <si>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</si>
  <si>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</si>
  <si>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</si>
  <si>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</si>
  <si>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</si>
  <si>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</si>
  <si>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</si>
  <si>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</si>
  <si>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</si>
  <si>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</si>
  <si>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</si>
  <si>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</si>
  <si>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</si>
  <si>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</si>
  <si>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</si>
  <si>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</si>
  <si>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</si>
  <si>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</si>
  <si>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</si>
  <si>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</si>
  <si>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</si>
  <si>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</si>
  <si>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</si>
  <si>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</si>
  <si>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</si>
  <si>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</si>
  <si>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</si>
  <si>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</si>
  <si>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</si>
  <si>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</si>
  <si>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</si>
  <si>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</si>
  <si>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</si>
  <si>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</si>
  <si>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</si>
  <si>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</si>
  <si>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</si>
  <si>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</si>
  <si>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</si>
  <si>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</si>
  <si>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</si>
  <si>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</si>
  <si>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</si>
  <si>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</si>
  <si>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</si>
  <si>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</si>
  <si>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</si>
  <si>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</si>
  <si>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</si>
  <si>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</si>
  <si>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</si>
  <si>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</si>
  <si>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</si>
  <si>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</si>
  <si>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</si>
  <si>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</si>
  <si>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</si>
  <si>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</si>
  <si>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</si>
  <si>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</si>
  <si>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</si>
  <si>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</si>
  <si>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</si>
  <si>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</si>
  <si>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</si>
  <si>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</si>
  <si>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</si>
  <si>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</si>
  <si>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</si>
  <si>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</si>
  <si>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</si>
  <si>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</si>
  <si>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</si>
  <si>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</si>
  <si>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</si>
  <si>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</si>
  <si>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</si>
  <si>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</si>
  <si>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</si>
  <si>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</si>
  <si>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</si>
  <si>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</si>
  <si>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</si>
  <si>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</si>
  <si>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</si>
  <si>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</si>
  <si>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</si>
  <si>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</si>
  <si>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</si>
  <si>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</si>
  <si>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</si>
  <si>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</si>
  <si>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</si>
  <si>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</si>
  <si>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</si>
  <si>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</si>
  <si>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</si>
  <si>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</si>
  <si>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</si>
  <si>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</si>
  <si>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</si>
  <si>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</si>
  <si>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</si>
  <si>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</si>
  <si>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</si>
  <si>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</si>
  <si>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</si>
  <si>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</si>
  <si>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</si>
  <si>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</si>
  <si>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</si>
  <si>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</si>
  <si>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</si>
  <si>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</si>
  <si>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</si>
  <si>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</si>
  <si>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</si>
  <si>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</si>
  <si>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</si>
  <si>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</si>
  <si>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</si>
  <si>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</si>
  <si>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</si>
  <si>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</si>
  <si>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</si>
  <si>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</si>
  <si>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</si>
  <si>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</si>
  <si>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</si>
  <si>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</si>
  <si>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</si>
  <si>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</si>
  <si>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</si>
  <si>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</si>
  <si>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</si>
  <si>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</si>
  <si>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</si>
  <si>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</si>
  <si>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</si>
  <si>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</si>
  <si>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</si>
  <si>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</si>
  <si>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</si>
  <si>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</si>
  <si>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</si>
  <si>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</si>
  <si>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</si>
  <si>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</si>
  <si>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</si>
  <si>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</si>
  <si>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</si>
  <si>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</si>
  <si>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</si>
  <si>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</si>
  <si>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</si>
  <si>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</si>
  <si>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</si>
  <si>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</si>
  <si>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</si>
  <si>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</si>
  <si>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</si>
  <si>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</si>
  <si>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</si>
  <si>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</si>
  <si>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</si>
  <si>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</si>
  <si>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</si>
  <si>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</si>
  <si>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</si>
  <si>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</si>
  <si>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</si>
  <si>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</si>
  <si>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</si>
  <si>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</si>
  <si>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</si>
  <si>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</si>
  <si>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</si>
  <si>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</si>
  <si>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</si>
  <si>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</si>
  <si>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</si>
  <si>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</si>
  <si>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</si>
  <si>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</si>
  <si>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</si>
  <si>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</si>
  <si>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</si>
  <si>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</si>
  <si>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</si>
  <si>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</si>
  <si>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</si>
  <si>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</si>
  <si>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</si>
  <si>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</si>
  <si>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</si>
  <si>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</si>
  <si>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</si>
  <si>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</si>
  <si>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</si>
  <si>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</si>
  <si>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</si>
  <si>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</si>
  <si>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</si>
  <si>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</si>
  <si>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</si>
  <si>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</si>
  <si>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</si>
  <si>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</si>
  <si>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</si>
  <si>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</si>
  <si>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</si>
  <si>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</si>
  <si>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</si>
  <si>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</si>
  <si>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</si>
  <si>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</si>
  <si>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</si>
  <si>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</si>
  <si>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</si>
  <si>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</si>
  <si>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</si>
  <si>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</si>
  <si>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</si>
  <si>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</si>
  <si>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</si>
  <si>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</si>
  <si>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</si>
  <si>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</si>
  <si>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</si>
  <si>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</si>
  <si>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</si>
  <si>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</si>
  <si>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</si>
  <si>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</si>
  <si>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</si>
  <si>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</si>
  <si>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</si>
  <si>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</si>
  <si>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</si>
  <si>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</si>
  <si>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</si>
  <si>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</si>
  <si>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</si>
  <si>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</si>
  <si>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</si>
  <si>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</si>
  <si>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</si>
  <si>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</si>
  <si>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</si>
  <si>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</si>
  <si>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</si>
  <si>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</si>
  <si>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</si>
  <si>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</si>
  <si>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</si>
  <si>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</si>
  <si>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</si>
  <si>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</si>
  <si>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</si>
  <si>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</si>
  <si>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</si>
  <si>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</si>
  <si>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</si>
  <si>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</si>
  <si>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</si>
  <si>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</si>
  <si>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</si>
  <si>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</si>
  <si>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</si>
  <si>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</si>
  <si>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</si>
  <si>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</si>
  <si>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</si>
  <si>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</si>
  <si>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</si>
  <si>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</si>
  <si>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</si>
  <si>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</si>
  <si>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</si>
  <si>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</si>
  <si>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</si>
  <si>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</si>
  <si>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</si>
  <si>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</si>
  <si>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</si>
  <si>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</si>
  <si>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</si>
  <si>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</si>
  <si>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</si>
  <si>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</si>
  <si>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</si>
  <si>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</si>
  <si>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</si>
  <si>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</si>
  <si>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</si>
  <si>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</si>
  <si>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</si>
  <si>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</si>
  <si>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</si>
  <si>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</si>
  <si>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</si>
  <si>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</si>
  <si>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</si>
  <si>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</si>
  <si>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</si>
  <si>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</si>
  <si>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</si>
  <si>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</si>
  <si>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</si>
  <si>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</si>
  <si>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</si>
  <si>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</si>
  <si>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</si>
  <si>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</si>
  <si>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</si>
  <si>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</si>
  <si>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</si>
  <si>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</si>
  <si>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</si>
  <si>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</si>
  <si>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</si>
  <si>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</si>
  <si>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</si>
  <si>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</si>
  <si>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</si>
  <si>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</si>
  <si>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</si>
  <si>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</si>
  <si>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</si>
  <si>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</si>
  <si>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</si>
  <si>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</si>
  <si>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</si>
  <si>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</si>
  <si>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</si>
  <si>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</si>
  <si>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</si>
  <si>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</si>
  <si>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</si>
  <si>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</si>
  <si>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</si>
  <si>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</si>
  <si>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</si>
  <si>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</si>
  <si>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</si>
  <si>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</si>
  <si>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</si>
  <si>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</si>
  <si>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</si>
  <si>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</si>
  <si>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</si>
  <si>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</si>
  <si>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</si>
  <si>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</si>
  <si>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</si>
  <si>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</si>
  <si>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</si>
  <si>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</si>
  <si>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</si>
  <si>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</si>
  <si>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</si>
  <si>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</si>
  <si>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</si>
  <si>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</si>
  <si>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</si>
  <si>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</si>
  <si>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</si>
  <si>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</si>
  <si>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</si>
  <si>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</si>
  <si>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</si>
  <si>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</si>
  <si>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</si>
  <si>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</si>
  <si>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</si>
  <si>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</si>
  <si>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</si>
  <si>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</si>
  <si>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</si>
  <si>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</si>
  <si>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</si>
  <si>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</si>
  <si>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</si>
  <si>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</si>
  <si>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</si>
  <si>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</si>
  <si>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</si>
  <si>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</si>
  <si>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</si>
  <si>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</si>
  <si>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</si>
  <si>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</si>
  <si>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</si>
  <si>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</si>
  <si>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</si>
  <si>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</si>
  <si>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</si>
  <si>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</si>
  <si>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</si>
  <si>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</si>
  <si>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</si>
  <si>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</si>
  <si>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</si>
  <si>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</si>
  <si>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</si>
  <si>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</si>
  <si>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</si>
  <si>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</si>
  <si>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</si>
  <si>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</si>
  <si>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</si>
  <si>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</si>
  <si>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</si>
  <si>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</si>
  <si>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</si>
  <si>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</si>
  <si>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</si>
  <si>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</si>
  <si>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</si>
  <si>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</si>
  <si>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</si>
  <si>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</si>
  <si>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</si>
  <si>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</si>
  <si>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</si>
  <si>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</si>
  <si>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</si>
  <si>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</si>
  <si>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</si>
  <si>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</si>
  <si>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</si>
  <si>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</si>
  <si>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</si>
  <si>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</si>
  <si>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</si>
  <si>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</si>
  <si>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</si>
  <si>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</si>
  <si>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</si>
  <si>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</si>
  <si>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</si>
  <si>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</si>
  <si>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</si>
  <si>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</si>
  <si>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</si>
  <si>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</si>
  <si>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</si>
  <si>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</si>
  <si>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</si>
  <si>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</si>
  <si>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</si>
  <si>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</si>
  <si>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</si>
  <si>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</si>
  <si>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</si>
  <si>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</si>
  <si>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</si>
  <si>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</si>
  <si>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</si>
  <si>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</si>
  <si>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</si>
  <si>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</si>
  <si>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</si>
  <si>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</si>
  <si>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</si>
  <si>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</si>
  <si>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</si>
  <si>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</si>
  <si>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</si>
  <si>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</si>
  <si>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</si>
  <si>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</si>
  <si>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</si>
  <si>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</si>
  <si>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</si>
  <si>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</si>
  <si>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</si>
  <si>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</si>
  <si>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</si>
  <si>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</si>
  <si>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</si>
  <si>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</si>
  <si>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</si>
  <si>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</si>
  <si>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</si>
  <si>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</si>
  <si>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</si>
  <si>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</si>
  <si>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</si>
  <si>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</si>
  <si>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</si>
  <si>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</si>
  <si>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</si>
  <si>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</si>
  <si>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</si>
  <si>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</si>
  <si>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</si>
  <si>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</si>
  <si>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</si>
  <si>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</si>
  <si>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</si>
  <si>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</si>
  <si>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</si>
  <si>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</si>
  <si>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</si>
  <si>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</si>
  <si>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</si>
  <si>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</si>
  <si>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</si>
  <si>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</si>
  <si>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</si>
  <si>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</si>
  <si>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</si>
  <si>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</si>
  <si>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</si>
  <si>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</si>
  <si>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</si>
  <si>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</si>
  <si>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</si>
  <si>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</si>
  <si>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</si>
  <si>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</si>
  <si>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</si>
  <si>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</si>
  <si>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</si>
  <si>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</si>
  <si>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</si>
  <si>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</si>
  <si>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</si>
  <si>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</si>
  <si>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</si>
  <si>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</si>
  <si>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</si>
  <si>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</si>
  <si>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</si>
  <si>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</si>
  <si>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</si>
  <si>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</si>
  <si>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</si>
  <si>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</si>
  <si>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</si>
  <si>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</si>
  <si>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</si>
  <si>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</si>
  <si>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</si>
  <si>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</si>
  <si>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</si>
  <si>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</si>
  <si>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</si>
  <si>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</si>
  <si>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</si>
  <si>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</si>
  <si>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</si>
  <si>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</si>
  <si>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</si>
  <si>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</si>
  <si>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</si>
  <si>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</si>
  <si>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</si>
  <si>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</si>
  <si>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</si>
  <si>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</si>
  <si>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</si>
  <si>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</si>
  <si>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</si>
  <si>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</si>
  <si>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</si>
  <si>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</si>
  <si>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</si>
  <si>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</si>
  <si>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</si>
  <si>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</si>
  <si>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</si>
  <si>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</si>
  <si>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</si>
  <si>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</si>
  <si>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</si>
  <si>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</si>
  <si>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</si>
  <si>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</si>
  <si>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</si>
  <si>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</si>
  <si>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</si>
  <si>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</si>
  <si>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</si>
  <si>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</si>
  <si>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</si>
  <si>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</si>
  <si>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</si>
  <si>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</si>
  <si>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</si>
  <si>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</si>
  <si>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</si>
  <si>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</si>
  <si>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</si>
  <si>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</si>
  <si>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</si>
  <si>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</si>
  <si>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</si>
  <si>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</si>
  <si>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</si>
  <si>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</si>
  <si>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</si>
  <si>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</si>
  <si>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</si>
  <si>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</si>
  <si>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</si>
  <si>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</si>
  <si>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</si>
  <si>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</si>
  <si>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</si>
  <si>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</si>
  <si>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</si>
  <si>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</si>
  <si>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</si>
  <si>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</si>
  <si>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</si>
  <si>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</si>
  <si>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</si>
  <si>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</si>
  <si>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</si>
  <si>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</si>
  <si>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</si>
  <si>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</si>
  <si>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</si>
  <si>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</si>
  <si>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</si>
  <si>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</si>
  <si>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</si>
  <si>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</si>
  <si>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</si>
  <si>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</si>
  <si>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</si>
  <si>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</si>
  <si>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</si>
  <si>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</si>
  <si>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</si>
  <si>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</si>
  <si>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</si>
  <si>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</si>
  <si>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</si>
  <si>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</si>
  <si>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</si>
  <si>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</si>
  <si>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</si>
  <si>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</si>
  <si>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</si>
  <si>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</si>
  <si>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</si>
  <si>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</si>
  <si>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</si>
  <si>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</si>
  <si>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</si>
  <si>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</si>
  <si>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</si>
  <si>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</si>
  <si>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</si>
  <si>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</si>
  <si>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</si>
  <si>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</si>
  <si>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</si>
  <si>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</si>
  <si>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</si>
  <si>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</si>
  <si>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</si>
  <si>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</si>
  <si>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</si>
  <si>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</si>
  <si>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</si>
  <si>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</si>
  <si>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</si>
  <si>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</si>
  <si>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</si>
  <si>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</si>
  <si>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</si>
  <si>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</si>
  <si>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</si>
  <si>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</si>
  <si>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</si>
  <si>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</si>
  <si>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</si>
  <si>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</si>
  <si>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</si>
  <si>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</si>
  <si>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</si>
  <si>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</si>
  <si>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</si>
  <si>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</si>
  <si>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</si>
  <si>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</si>
  <si>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</si>
  <si>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</si>
  <si>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</si>
  <si>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</si>
  <si>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</si>
  <si>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</si>
  <si>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</si>
  <si>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</si>
  <si>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</si>
  <si>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</si>
  <si>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</si>
  <si>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</si>
  <si>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</si>
  <si>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</si>
  <si>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</si>
  <si>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</si>
  <si>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</si>
  <si>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</si>
  <si>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</si>
  <si>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</si>
  <si>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</si>
  <si>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</si>
  <si>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</si>
  <si>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</si>
  <si>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</si>
  <si>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</si>
  <si>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</si>
  <si>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</si>
  <si>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</si>
  <si>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</si>
  <si>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</si>
  <si>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</si>
  <si>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</si>
  <si>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</si>
  <si>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</si>
  <si>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</si>
  <si>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</si>
  <si>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</si>
  <si>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</si>
  <si>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</si>
  <si>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</si>
  <si>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</si>
  <si>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</si>
  <si>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</si>
  <si>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</si>
  <si>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</si>
  <si>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</si>
  <si>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</si>
  <si>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</si>
  <si>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</si>
  <si>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</si>
  <si>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</si>
  <si>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</si>
  <si>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</si>
  <si>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</si>
  <si>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</si>
  <si>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</si>
  <si>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</si>
  <si>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</si>
  <si>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</si>
  <si>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</si>
  <si>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</si>
  <si>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</si>
  <si>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</si>
  <si>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</si>
  <si>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</si>
  <si>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</si>
  <si>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</si>
  <si>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</si>
  <si>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</si>
  <si>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</si>
  <si>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</si>
  <si>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</si>
  <si>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</si>
  <si>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</si>
  <si>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</si>
  <si>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</si>
  <si>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</si>
  <si>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</si>
  <si>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</si>
  <si>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</si>
  <si>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</si>
  <si>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</si>
  <si>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</si>
  <si>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</si>
  <si>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</si>
  <si>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</si>
  <si>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</si>
  <si>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</si>
  <si>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</si>
  <si>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</si>
  <si>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</si>
  <si>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</si>
  <si>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</si>
  <si>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</si>
  <si>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</si>
  <si>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</si>
  <si>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</si>
  <si>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</si>
  <si>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</si>
  <si>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</si>
  <si>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</si>
  <si>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</si>
  <si>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</si>
  <si>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</si>
  <si>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</si>
  <si>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</si>
  <si>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</si>
  <si>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</si>
  <si>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</si>
  <si>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</si>
  <si>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</si>
  <si>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</si>
  <si>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</si>
  <si>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</si>
  <si>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</si>
  <si>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</si>
  <si>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</si>
  <si>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</si>
  <si>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</si>
  <si>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</si>
  <si>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</si>
  <si>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</si>
  <si>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</si>
  <si>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</si>
  <si>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</si>
  <si>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</si>
  <si>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</si>
  <si>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</si>
  <si>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</si>
  <si>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</si>
  <si>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</si>
  <si>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</si>
  <si>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</si>
  <si>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</si>
  <si>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</si>
  <si>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</si>
  <si>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</si>
  <si>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</si>
  <si>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</si>
  <si>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</si>
  <si>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</si>
  <si>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</si>
  <si>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</si>
  <si>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</si>
  <si>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</si>
  <si>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</si>
  <si>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</si>
  <si>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</si>
  <si>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</si>
  <si>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</si>
  <si>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</si>
  <si>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</si>
  <si>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</si>
  <si>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</si>
  <si>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</si>
  <si>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</si>
  <si>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</si>
  <si>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</si>
  <si>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</si>
  <si>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</si>
  <si>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</si>
  <si>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</si>
  <si>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</si>
  <si>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</si>
  <si>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</si>
  <si>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</si>
  <si>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</si>
  <si>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</si>
  <si>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</si>
  <si>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</si>
  <si>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</si>
  <si>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</si>
  <si>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</si>
  <si>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</si>
  <si>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</si>
  <si>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</si>
  <si>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</si>
  <si>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</si>
  <si>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</si>
  <si>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</si>
  <si>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</si>
  <si>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</si>
  <si>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</si>
  <si>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</si>
  <si>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</si>
  <si>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</si>
  <si>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</si>
  <si>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</si>
  <si>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</si>
  <si>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</si>
  <si>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</si>
  <si>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</si>
  <si>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</si>
  <si>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</si>
  <si>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</si>
  <si>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</si>
  <si>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</si>
  <si>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</si>
  <si>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</si>
  <si>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</si>
  <si>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</si>
  <si>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</si>
  <si>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</si>
  <si>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</si>
  <si>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</si>
  <si>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</si>
  <si>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</si>
  <si>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</si>
  <si>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</si>
  <si>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</si>
  <si>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</si>
  <si>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</si>
  <si>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</si>
  <si>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</si>
  <si>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</si>
  <si>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</si>
  <si>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</si>
  <si>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</si>
  <si>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</si>
  <si>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</si>
  <si>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</si>
  <si>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</si>
  <si>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</si>
  <si>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</si>
  <si>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</si>
  <si>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</si>
  <si>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</si>
  <si>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</si>
  <si>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</si>
  <si>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</si>
  <si>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</si>
  <si>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</si>
  <si>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</si>
  <si>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</si>
  <si>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</si>
  <si>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</si>
  <si>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</si>
  <si>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</si>
  <si>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</si>
  <si>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</si>
  <si>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</si>
  <si>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</si>
  <si>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</si>
  <si>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</si>
  <si>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</si>
  <si>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</si>
  <si>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</si>
  <si>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</si>
  <si>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</si>
  <si>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</si>
  <si>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</si>
  <si>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</si>
  <si>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</si>
  <si>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</si>
  <si>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</si>
  <si>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</si>
  <si>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</si>
  <si>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</si>
  <si>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</si>
  <si>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</si>
  <si>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</si>
  <si>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</si>
  <si>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</si>
  <si>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</si>
  <si>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</si>
  <si>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</si>
  <si>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</si>
  <si>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</si>
  <si>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</si>
  <si>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</si>
  <si>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</si>
  <si>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</si>
  <si>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</si>
  <si>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</si>
  <si>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</si>
  <si>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</si>
  <si>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</si>
  <si>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</si>
  <si>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</si>
  <si>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</si>
  <si>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</si>
  <si>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</si>
  <si>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</si>
  <si>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</si>
  <si>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</si>
  <si>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</si>
  <si>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</si>
  <si>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</si>
  <si>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</si>
  <si>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</si>
  <si>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</si>
  <si>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</si>
  <si>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</si>
  <si>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</si>
  <si>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</si>
  <si>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</si>
  <si>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</si>
  <si>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</si>
  <si>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</si>
  <si>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</si>
  <si>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</si>
  <si>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</si>
  <si>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</si>
  <si>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</si>
  <si>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</si>
  <si>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</si>
  <si>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</si>
  <si>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</si>
  <si>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</si>
  <si>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</si>
  <si>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</si>
  <si>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</si>
  <si>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</si>
  <si>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</si>
  <si>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</si>
  <si>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</si>
  <si>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</si>
  <si>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</si>
  <si>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</si>
  <si>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</si>
  <si>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</si>
  <si>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</si>
  <si>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</si>
  <si>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</si>
  <si>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</si>
  <si>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</si>
  <si>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</si>
  <si>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</si>
  <si>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</si>
  <si>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</si>
  <si>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</si>
  <si>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</si>
  <si>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</si>
  <si>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</si>
  <si>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</si>
  <si>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</si>
  <si>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</si>
  <si>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</si>
  <si>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</si>
  <si>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</si>
  <si>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</si>
  <si>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</si>
  <si>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</si>
  <si>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</si>
  <si>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</si>
  <si>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</si>
  <si>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</si>
  <si>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</si>
  <si>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</si>
  <si>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</si>
  <si>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</si>
  <si>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</si>
  <si>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</si>
  <si>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</si>
  <si>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</si>
  <si>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</si>
  <si>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</si>
  <si>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</si>
  <si>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</si>
  <si>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</si>
  <si>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</si>
  <si>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</si>
  <si>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</si>
  <si>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</si>
  <si>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</si>
  <si>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</si>
  <si>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</si>
  <si>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</si>
  <si>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</si>
  <si>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</si>
  <si>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</si>
  <si>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</si>
  <si>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</si>
  <si>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</si>
  <si>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</si>
  <si>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</si>
  <si>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</si>
  <si>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</si>
  <si>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</si>
  <si>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</si>
  <si>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</si>
  <si>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</si>
  <si>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</si>
  <si>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</si>
  <si>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</si>
  <si>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</si>
  <si>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</si>
  <si>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</si>
  <si>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</si>
  <si>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</si>
  <si>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</si>
  <si>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</si>
  <si>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</si>
  <si>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</si>
  <si>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</si>
  <si>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</si>
  <si>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</si>
  <si>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</si>
  <si>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</si>
  <si>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</si>
  <si>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</si>
  <si>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</si>
  <si>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</si>
  <si>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</si>
  <si>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</si>
  <si>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</si>
  <si>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</si>
  <si>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</si>
  <si>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</si>
  <si>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</si>
  <si>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</si>
  <si>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</si>
  <si>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</si>
  <si>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</si>
  <si>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</si>
  <si>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</si>
  <si>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</si>
  <si>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</si>
  <si>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</si>
  <si>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</si>
  <si>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</si>
  <si>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</si>
  <si>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</si>
  <si>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</si>
  <si>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</si>
  <si>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</si>
  <si>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</si>
  <si>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</si>
  <si>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</si>
  <si>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</si>
  <si>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</si>
  <si>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</si>
  <si>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</si>
  <si>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</si>
  <si>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</si>
  <si>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</si>
  <si>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</si>
  <si>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</si>
  <si>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</si>
  <si>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</si>
  <si>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</si>
  <si>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</si>
  <si>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</si>
  <si>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</si>
  <si>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</si>
  <si>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</si>
  <si>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</si>
  <si>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</si>
  <si>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</si>
  <si>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</si>
  <si>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</si>
  <si>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</si>
  <si>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</si>
  <si>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</si>
  <si>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</si>
  <si>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</si>
  <si>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</si>
  <si>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</si>
  <si>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</si>
  <si>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</si>
  <si>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</si>
  <si>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</si>
  <si>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</si>
  <si>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</si>
  <si>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</si>
  <si>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</si>
  <si>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</si>
  <si>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</si>
  <si>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</si>
  <si>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</si>
  <si>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</si>
  <si>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</si>
  <si>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</si>
  <si>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</si>
  <si>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</si>
  <si>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</si>
  <si>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</si>
  <si>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</si>
  <si>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</si>
  <si>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</si>
  <si>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</si>
  <si>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</si>
  <si>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</si>
  <si>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</si>
  <si>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</si>
  <si>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</si>
  <si>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</si>
  <si>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</si>
  <si>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</si>
  <si>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</si>
  <si>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</si>
  <si>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</si>
  <si>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</si>
  <si>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</si>
  <si>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</si>
  <si>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</si>
  <si>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</si>
  <si>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</si>
  <si>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</si>
  <si>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</si>
  <si>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</si>
  <si>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</si>
  <si>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</si>
  <si>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</si>
  <si>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</si>
  <si>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</si>
  <si>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</si>
  <si>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</si>
  <si>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</si>
  <si>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</si>
  <si>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</si>
  <si>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</si>
  <si>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</si>
  <si>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</si>
  <si>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</si>
  <si>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</si>
  <si>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</si>
  <si>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</si>
  <si>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</si>
  <si>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</si>
  <si>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</si>
  <si>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</si>
  <si>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</si>
  <si>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</si>
  <si>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</si>
  <si>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</si>
  <si>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</si>
  <si>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</si>
  <si>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</si>
  <si>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</si>
  <si>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</si>
  <si>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</si>
  <si>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</si>
  <si>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</si>
  <si>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</si>
  <si>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</si>
  <si>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</si>
  <si>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</si>
  <si>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</si>
  <si>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</si>
  <si>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</si>
  <si>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</si>
  <si>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</si>
  <si>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</si>
  <si>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</si>
  <si>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</si>
  <si>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</si>
  <si>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</si>
  <si>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</si>
  <si>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</si>
  <si>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</si>
  <si>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</si>
  <si>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</si>
  <si>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</si>
  <si>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</si>
  <si>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</si>
  <si>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</si>
  <si>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</si>
  <si>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</si>
  <si>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</si>
  <si>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</si>
  <si>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</si>
  <si>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</si>
  <si>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</si>
  <si>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</si>
  <si>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</si>
  <si>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</si>
  <si>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</si>
  <si>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</si>
  <si>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</si>
  <si>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</si>
  <si>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</si>
  <si>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</si>
  <si>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</si>
  <si>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</si>
  <si>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</si>
  <si>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</si>
  <si>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</si>
  <si>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</si>
  <si>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</si>
  <si>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</si>
  <si>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</si>
  <si>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</si>
  <si>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</si>
  <si>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</si>
  <si>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</si>
  <si>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</si>
  <si>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</si>
  <si>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</si>
  <si>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</si>
  <si>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</si>
  <si>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</si>
  <si>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</si>
  <si>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</si>
  <si>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</si>
  <si>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</si>
  <si>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</si>
  <si>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</si>
  <si>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</si>
  <si>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</si>
  <si>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</si>
  <si>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</si>
  <si>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</si>
  <si>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</si>
  <si>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</si>
  <si>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</si>
  <si>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</si>
  <si>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</si>
  <si>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</si>
  <si>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</si>
  <si>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</si>
  <si>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</si>
  <si>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</si>
  <si>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</si>
  <si>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</si>
  <si>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</si>
  <si>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</si>
  <si>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</si>
  <si>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</si>
  <si>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</si>
  <si>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</si>
  <si>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</si>
  <si>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</si>
  <si>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</si>
  <si>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</si>
  <si>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</si>
  <si>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</si>
  <si>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</si>
  <si>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</si>
  <si>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</si>
  <si>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</si>
  <si>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</si>
  <si>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</si>
  <si>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</si>
  <si>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</si>
  <si>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</si>
  <si>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</si>
  <si>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</si>
  <si>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</si>
  <si>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</si>
  <si>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</si>
  <si>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</si>
  <si>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</si>
  <si>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</si>
  <si>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</si>
  <si>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</si>
  <si>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</si>
  <si>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</si>
  <si>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</si>
  <si>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</si>
  <si>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</si>
  <si>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</si>
  <si>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</si>
  <si>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</si>
  <si>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</si>
  <si>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</si>
  <si>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</si>
  <si>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</si>
  <si>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</si>
  <si>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</si>
  <si>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</si>
  <si>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</si>
  <si>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</si>
  <si>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</si>
  <si>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</si>
  <si>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</si>
  <si>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</si>
  <si>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</si>
  <si>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</si>
  <si>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</si>
  <si>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</si>
  <si>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</si>
  <si>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</si>
  <si>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</si>
  <si>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</si>
  <si>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</si>
  <si>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</si>
  <si>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</si>
  <si>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</si>
  <si>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</si>
  <si>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</si>
  <si>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</si>
  <si>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</si>
  <si>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</si>
  <si>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</si>
  <si>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</si>
  <si>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</si>
  <si>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</si>
  <si>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</si>
  <si>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</si>
  <si>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</si>
  <si>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</si>
  <si>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</si>
  <si>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</si>
  <si>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</si>
  <si>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</si>
  <si>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</si>
  <si>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</si>
  <si>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</si>
  <si>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</si>
  <si>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</si>
  <si>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</si>
  <si>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</si>
  <si>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</si>
  <si>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</si>
  <si>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</si>
  <si>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</si>
  <si>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</si>
  <si>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</si>
  <si>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</si>
  <si>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</si>
  <si>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</si>
  <si>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</si>
  <si>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</si>
  <si>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</si>
  <si>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</si>
  <si>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</si>
  <si>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</si>
  <si>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</si>
  <si>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</si>
  <si>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</si>
  <si>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</si>
  <si>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</si>
  <si>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</si>
  <si>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</si>
  <si>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</si>
  <si>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</si>
  <si>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</si>
  <si>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</si>
  <si>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</si>
  <si>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</si>
  <si>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</si>
  <si>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</si>
  <si>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</si>
  <si>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</si>
  <si>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</si>
  <si>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</si>
  <si>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</si>
  <si>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</si>
  <si>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</si>
  <si>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</si>
  <si>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</si>
  <si>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</si>
  <si>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</si>
  <si>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</si>
  <si>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</si>
  <si>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</si>
  <si>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</si>
  <si>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</si>
  <si>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</si>
  <si>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</si>
  <si>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</si>
  <si>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</si>
  <si>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</si>
  <si>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</si>
  <si>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</si>
  <si>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</si>
  <si>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</si>
  <si>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</si>
  <si>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</si>
  <si>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</si>
  <si>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</si>
  <si>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</si>
  <si>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</si>
  <si>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</si>
  <si>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</si>
  <si>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</si>
  <si>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</si>
  <si>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</si>
  <si>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</si>
  <si>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</si>
  <si>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</si>
  <si>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</si>
  <si>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</si>
  <si>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</si>
  <si>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</si>
  <si>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</si>
  <si>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</si>
  <si>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</si>
  <si>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</si>
  <si>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</si>
  <si>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</si>
  <si>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</si>
  <si>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</si>
  <si>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</si>
  <si>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</si>
  <si>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</si>
  <si>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</si>
  <si>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</si>
  <si>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</si>
  <si>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</si>
  <si>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</si>
  <si>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</si>
  <si>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</si>
  <si>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</si>
  <si>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</si>
  <si>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</si>
  <si>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</si>
  <si>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</si>
  <si>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</si>
  <si>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</si>
  <si>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</si>
  <si>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</si>
  <si>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</si>
  <si>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</si>
  <si>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</si>
  <si>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</si>
  <si>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</si>
  <si>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</si>
  <si>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</si>
  <si>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</si>
  <si>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</si>
  <si>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</si>
  <si>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</si>
  <si>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</si>
  <si>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</si>
  <si>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</si>
  <si>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</si>
  <si>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</si>
  <si>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</si>
  <si>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</si>
  <si>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</si>
  <si>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</si>
  <si>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</si>
  <si>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</si>
  <si>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</si>
  <si>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</si>
  <si>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</si>
  <si>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</si>
  <si>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</si>
  <si>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</si>
  <si>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</si>
  <si>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</si>
  <si>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</si>
  <si>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</si>
  <si>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</si>
  <si>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</si>
  <si>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</si>
  <si>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</si>
  <si>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</si>
  <si>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</si>
  <si>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</si>
  <si>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</si>
  <si>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</si>
  <si>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</si>
  <si>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</si>
  <si>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</si>
  <si>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</si>
  <si>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</si>
  <si>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</si>
  <si>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</si>
  <si>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</si>
  <si>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</si>
  <si>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</si>
  <si>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</si>
  <si>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</si>
  <si>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</si>
  <si>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</si>
  <si>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</si>
  <si>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</si>
  <si>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</si>
  <si>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</si>
  <si>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</si>
  <si>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</si>
  <si>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</si>
  <si>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</si>
  <si>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</si>
  <si>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</si>
  <si>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</si>
  <si>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</si>
  <si>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</si>
  <si>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</si>
  <si>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</si>
  <si>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</si>
  <si>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</si>
  <si>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</si>
  <si>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</si>
  <si>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</si>
  <si>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</si>
  <si>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</si>
  <si>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</si>
  <si>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</si>
  <si>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</si>
  <si>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</si>
  <si>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</si>
  <si>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</si>
  <si>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</si>
  <si>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</si>
  <si>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</si>
  <si>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</si>
  <si>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</si>
  <si>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</si>
  <si>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</si>
  <si>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</si>
  <si>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</si>
  <si>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</si>
  <si>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</si>
  <si>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</si>
  <si>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</si>
  <si>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</si>
  <si>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</si>
  <si>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</si>
  <si>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</si>
  <si>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</si>
  <si>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</si>
  <si>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</si>
  <si>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</si>
  <si>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</si>
  <si>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</si>
  <si>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</si>
  <si>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</si>
  <si>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</si>
  <si>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</si>
  <si>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</si>
  <si>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</si>
  <si>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</si>
  <si>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</si>
  <si>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</si>
  <si>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</si>
  <si>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</si>
  <si>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</si>
  <si>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</si>
  <si>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</si>
  <si>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</si>
  <si>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</si>
  <si>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</si>
  <si>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</si>
  <si>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</si>
  <si>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</si>
  <si>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</si>
  <si>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</si>
  <si>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</si>
  <si>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</si>
  <si>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</si>
  <si>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</si>
  <si>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</si>
  <si>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</si>
  <si>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</si>
  <si>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</si>
  <si>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</si>
  <si>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</si>
  <si>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</si>
  <si>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</si>
  <si>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</si>
  <si>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</si>
  <si>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</si>
  <si>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</si>
  <si>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</si>
  <si>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</si>
  <si>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</si>
  <si>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</si>
  <si>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</si>
  <si>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</si>
  <si>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</si>
  <si>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</si>
  <si>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</si>
  <si>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</si>
  <si>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</si>
  <si>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</si>
  <si>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</si>
  <si>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</si>
  <si>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</si>
  <si>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</si>
  <si>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</si>
  <si>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</si>
  <si>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</si>
  <si>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</si>
  <si>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</si>
  <si>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</si>
  <si>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</si>
  <si>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</si>
  <si>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</si>
  <si>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</si>
  <si>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</si>
  <si>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</si>
  <si>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</si>
  <si>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</si>
  <si>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</si>
  <si>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</si>
  <si>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</si>
  <si>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</si>
  <si>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</si>
  <si>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</si>
  <si>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</si>
  <si>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</si>
  <si>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</si>
  <si>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</si>
  <si>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</si>
  <si>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</si>
  <si>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</si>
  <si>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</si>
  <si>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</si>
  <si>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</si>
  <si>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</si>
  <si>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</si>
  <si>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</si>
  <si>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</si>
  <si>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</si>
  <si>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</si>
  <si>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</si>
  <si>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</si>
  <si>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</si>
  <si>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</si>
  <si>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</si>
  <si>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</si>
  <si>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</si>
  <si>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</si>
  <si>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</si>
  <si>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</si>
  <si>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</si>
  <si>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</si>
  <si>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</si>
  <si>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</si>
  <si>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</si>
  <si>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</si>
  <si>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</si>
  <si>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</si>
  <si>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</si>
  <si>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</si>
  <si>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</si>
  <si>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</si>
  <si>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</si>
  <si>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</si>
  <si>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</si>
  <si>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</si>
  <si>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</si>
  <si>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</si>
  <si>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</si>
  <si>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</si>
  <si>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</si>
  <si>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</si>
  <si>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</si>
  <si>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</si>
  <si>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</si>
  <si>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</si>
  <si>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</si>
  <si>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</si>
  <si>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</si>
  <si>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</si>
  <si>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</si>
  <si>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</si>
  <si>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</si>
  <si>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</si>
  <si>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</si>
  <si>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</si>
  <si>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</si>
  <si>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</si>
  <si>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</si>
  <si>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</si>
  <si>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</si>
  <si>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</si>
  <si>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</si>
  <si>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</si>
  <si>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</si>
  <si>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</si>
  <si>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</si>
  <si>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</si>
  <si>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</si>
  <si>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</si>
  <si>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</si>
  <si>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</si>
  <si>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</si>
  <si>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</si>
  <si>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</si>
  <si>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</si>
  <si>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</si>
  <si>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</si>
  <si>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</si>
  <si>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</si>
  <si>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</si>
  <si>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</si>
  <si>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</si>
  <si>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</si>
  <si>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</si>
  <si>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</si>
  <si>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</si>
  <si>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</si>
  <si>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</si>
  <si>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</si>
  <si>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</si>
  <si>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</si>
  <si>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</si>
  <si>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</si>
  <si>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</si>
  <si>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</si>
  <si>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</si>
  <si>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</si>
  <si>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</si>
  <si>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</si>
  <si>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</si>
  <si>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</si>
  <si>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</si>
  <si>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</si>
  <si>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</si>
  <si>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</si>
  <si>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</si>
  <si>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</si>
  <si>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</si>
  <si>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</si>
  <si>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</si>
  <si>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</si>
  <si>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</si>
  <si>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</si>
  <si>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</si>
  <si>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</si>
  <si>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</si>
  <si>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</si>
  <si>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</si>
  <si>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</si>
  <si>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</si>
  <si>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</si>
  <si>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</si>
  <si>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</si>
  <si>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</si>
  <si>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</si>
  <si>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</si>
  <si>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</si>
  <si>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</si>
  <si>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</si>
  <si>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</si>
  <si>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</si>
  <si>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</si>
  <si>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</si>
  <si>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</si>
  <si>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</si>
  <si>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</si>
  <si>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</si>
  <si>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</si>
  <si>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</si>
  <si>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</si>
  <si>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</si>
  <si>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</si>
  <si>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</si>
  <si>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</si>
  <si>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</si>
  <si>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</si>
  <si>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</si>
  <si>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</si>
  <si>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</si>
  <si>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</si>
  <si>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</si>
  <si>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</si>
  <si>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</si>
  <si>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</si>
  <si>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</si>
  <si>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</si>
  <si>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</si>
  <si>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</si>
  <si>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</si>
  <si>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</si>
  <si>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</si>
  <si>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</si>
  <si>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</si>
  <si>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</si>
  <si>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</si>
  <si>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</si>
  <si>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</si>
  <si>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</si>
  <si>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</si>
  <si>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</si>
  <si>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</si>
  <si>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</si>
  <si>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</si>
  <si>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</si>
  <si>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</si>
  <si>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</si>
  <si>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</si>
  <si>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</si>
  <si>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</si>
  <si>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</si>
  <si>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</si>
  <si>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</si>
  <si>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</si>
  <si>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</si>
  <si>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</si>
  <si>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</si>
  <si>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</si>
  <si>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</si>
  <si>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</si>
  <si>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</si>
  <si>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</si>
  <si>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</si>
  <si>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</si>
  <si>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</si>
  <si>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</si>
  <si>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</si>
  <si>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</si>
  <si>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</si>
  <si>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</si>
  <si>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</si>
  <si>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</si>
  <si>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</si>
  <si>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</si>
  <si>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</si>
  <si>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</si>
  <si>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</si>
  <si>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</si>
  <si>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</si>
  <si>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</si>
  <si>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</si>
  <si>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</si>
  <si>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</si>
  <si>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</si>
  <si>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</si>
  <si>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</si>
  <si>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</si>
  <si>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</si>
  <si>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</si>
  <si>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</si>
  <si>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</si>
  <si>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</si>
  <si>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</si>
  <si>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</si>
  <si>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</si>
  <si>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</si>
  <si>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</si>
  <si>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</si>
  <si>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</si>
  <si>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</si>
  <si>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</si>
  <si>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</si>
  <si>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</si>
  <si>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</si>
  <si>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</si>
  <si>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</si>
  <si>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</si>
  <si>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</si>
  <si>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</si>
  <si>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</si>
  <si>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</si>
  <si>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</si>
  <si>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</si>
  <si>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</si>
  <si>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</si>
  <si>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</si>
  <si>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</si>
  <si>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</si>
  <si>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</si>
  <si>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</si>
  <si>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</si>
  <si>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</si>
  <si>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</si>
  <si>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</si>
  <si>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</si>
  <si>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</si>
  <si>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</si>
  <si>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</si>
  <si>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</si>
  <si>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</si>
  <si>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</si>
  <si>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</si>
  <si>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</si>
  <si>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</si>
  <si>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</si>
  <si>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</si>
  <si>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</si>
  <si>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</si>
  <si>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</si>
  <si>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</si>
  <si>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</si>
  <si>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</si>
  <si>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</si>
  <si>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</si>
  <si>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</si>
  <si>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</si>
  <si>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</si>
  <si>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</si>
  <si>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</si>
  <si>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</si>
  <si>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</si>
  <si>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</si>
  <si>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</si>
  <si>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</si>
  <si>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</si>
  <si>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</si>
  <si>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</si>
  <si>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</si>
  <si>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</si>
  <si>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</si>
  <si>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</si>
  <si>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</si>
  <si>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</si>
  <si>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</si>
  <si>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</si>
  <si>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</si>
  <si>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</si>
  <si>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</si>
  <si>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</si>
  <si>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</si>
  <si>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</si>
  <si>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</si>
  <si>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</si>
  <si>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</si>
  <si>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</si>
  <si>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</si>
  <si>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</si>
  <si>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</si>
  <si>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</si>
  <si>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</si>
  <si>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</si>
  <si>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</si>
  <si>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</si>
  <si>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</si>
  <si>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</si>
  <si>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</si>
  <si>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</si>
  <si>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</si>
  <si>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</si>
  <si>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</si>
  <si>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</si>
  <si>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</si>
  <si>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</si>
  <si>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</si>
  <si>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</si>
  <si>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</si>
  <si>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</si>
  <si>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</si>
  <si>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</si>
  <si>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</si>
  <si>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</si>
  <si>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</si>
  <si>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</si>
  <si>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</si>
  <si>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</si>
  <si>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</si>
  <si>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</si>
  <si>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</si>
  <si>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</si>
  <si>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</si>
  <si>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</si>
  <si>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</si>
  <si>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</si>
  <si>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</si>
  <si>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</si>
  <si>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</si>
  <si>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</si>
  <si>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</si>
  <si>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</si>
  <si>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</si>
  <si>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</si>
  <si>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</si>
  <si>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</si>
  <si>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</si>
  <si>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</si>
  <si>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</si>
  <si>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</si>
  <si>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</si>
  <si>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</si>
  <si>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</si>
  <si>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</si>
  <si>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</si>
  <si>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</si>
  <si>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</si>
  <si>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</si>
  <si>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</si>
  <si>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</si>
  <si>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</si>
  <si>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</si>
  <si>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</si>
  <si>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</si>
  <si>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</si>
  <si>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</si>
  <si>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</si>
  <si>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</si>
  <si>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</si>
  <si>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</si>
  <si>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</si>
  <si>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</si>
  <si>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</si>
  <si>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</si>
  <si>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</si>
  <si>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</si>
  <si>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</si>
  <si>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</si>
  <si>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</si>
  <si>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</si>
  <si>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</si>
  <si>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</si>
  <si>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</si>
  <si>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</si>
  <si>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</si>
  <si>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</si>
  <si>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</si>
  <si>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</si>
  <si>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</si>
  <si>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</si>
  <si>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</si>
  <si>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</si>
  <si>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</si>
  <si>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</si>
  <si>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</si>
  <si>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</si>
  <si>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</si>
  <si>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</si>
  <si>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</si>
  <si>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</si>
  <si>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</si>
  <si>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</si>
  <si>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</si>
  <si>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</si>
  <si>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</si>
  <si>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</si>
  <si>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</si>
  <si>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</si>
  <si>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</si>
  <si>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</si>
  <si>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</si>
  <si>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</si>
  <si>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</si>
  <si>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</si>
  <si>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</si>
  <si>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</si>
  <si>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</si>
  <si>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</si>
  <si>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</si>
  <si>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</si>
  <si>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</si>
  <si>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</si>
  <si>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</si>
  <si>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</si>
  <si>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</si>
  <si>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</si>
  <si>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</si>
  <si>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</si>
  <si>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</si>
  <si>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</si>
  <si>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</si>
  <si>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</si>
  <si>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</si>
  <si>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</si>
  <si>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</si>
  <si>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</si>
  <si>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</si>
  <si>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</si>
  <si>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</si>
  <si>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</si>
  <si>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</si>
  <si>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</si>
  <si>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</si>
  <si>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</si>
  <si>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</si>
  <si>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</si>
  <si>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</si>
  <si>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</si>
  <si>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</si>
  <si>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</si>
  <si>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</si>
  <si>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</si>
  <si>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</si>
  <si>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</si>
  <si>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</si>
  <si>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</si>
  <si>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</si>
  <si>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</si>
  <si>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</si>
  <si>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</si>
  <si>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</si>
  <si>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</si>
  <si>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</si>
  <si>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</si>
  <si>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</si>
  <si>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</si>
  <si>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</si>
  <si>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</si>
  <si>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</si>
  <si>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</si>
  <si>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</si>
  <si>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</si>
  <si>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</si>
  <si>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</si>
  <si>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</si>
  <si>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</si>
  <si>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</si>
  <si>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</si>
  <si>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</si>
  <si>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</si>
  <si>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</si>
  <si>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</si>
  <si>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</si>
  <si>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</si>
  <si>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</si>
  <si>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</si>
  <si>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</si>
  <si>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</si>
  <si>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</si>
  <si>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</si>
  <si>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</si>
  <si>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</si>
  <si>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</si>
  <si>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</si>
  <si>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</si>
  <si>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</si>
  <si>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</si>
  <si>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</si>
  <si>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</si>
  <si>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</si>
  <si>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</si>
  <si>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</si>
  <si>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</si>
  <si>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</si>
  <si>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</si>
  <si>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</si>
  <si>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</si>
  <si>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</si>
  <si>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</si>
  <si>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</si>
  <si>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</si>
  <si>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</si>
  <si>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</si>
  <si>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</si>
  <si>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</si>
  <si>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</si>
  <si>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</si>
  <si>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</si>
  <si>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</si>
  <si>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</si>
  <si>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</si>
  <si>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</si>
  <si>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</si>
  <si>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</si>
  <si>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</si>
  <si>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</si>
  <si>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</si>
  <si>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</si>
  <si>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</si>
  <si>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</si>
  <si>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</si>
  <si>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</si>
  <si>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</si>
  <si>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</si>
  <si>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</si>
  <si>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</si>
  <si>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</si>
  <si>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</si>
  <si>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</si>
  <si>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</si>
  <si>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</si>
  <si>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</si>
  <si>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</si>
  <si>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</si>
  <si>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</si>
  <si>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</si>
  <si>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</si>
  <si>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</si>
  <si>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</si>
  <si>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</si>
  <si>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</si>
  <si>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</si>
  <si>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</si>
  <si>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</si>
  <si>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</si>
  <si>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</si>
  <si>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</si>
  <si>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</si>
  <si>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</si>
  <si>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</si>
  <si>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</si>
  <si>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</si>
  <si>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</si>
  <si>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</si>
  <si>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</si>
  <si>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</si>
  <si>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</si>
  <si>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</si>
  <si>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</si>
  <si>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</si>
  <si>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</si>
  <si>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</si>
  <si>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</si>
  <si>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</si>
  <si>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</si>
  <si>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</si>
  <si>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</si>
  <si>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</si>
  <si>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</si>
  <si>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</si>
  <si>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</si>
  <si>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</si>
  <si>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</si>
  <si>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</si>
  <si>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</si>
  <si>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</si>
  <si>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</si>
  <si>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</si>
  <si>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</si>
  <si>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</si>
  <si>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</si>
  <si>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</si>
  <si>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</si>
  <si>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</si>
  <si>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</si>
  <si>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</si>
  <si>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</si>
  <si>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</si>
  <si>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</si>
  <si>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</si>
  <si>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</si>
  <si>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</si>
  <si>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</si>
  <si>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</si>
  <si>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</si>
  <si>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</si>
  <si>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</si>
  <si>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</si>
  <si>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</si>
  <si>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</si>
  <si>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</si>
  <si>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</si>
  <si>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</si>
  <si>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</si>
  <si>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</si>
  <si>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</si>
  <si>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</si>
  <si>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</si>
  <si>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</si>
  <si>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</si>
  <si>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</si>
  <si>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</si>
  <si>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</si>
  <si>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</si>
  <si>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</si>
  <si>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</si>
  <si>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</si>
  <si>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</si>
  <si>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</si>
  <si>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</si>
  <si>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</si>
  <si>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</si>
  <si>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</si>
  <si>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</si>
  <si>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</si>
  <si>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</si>
  <si>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</si>
  <si>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</si>
  <si>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</si>
  <si>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</si>
  <si>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</si>
  <si>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</si>
  <si>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</si>
  <si>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</si>
  <si>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</si>
  <si>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</si>
  <si>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</si>
  <si>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</si>
  <si>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</si>
  <si>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</si>
  <si>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</si>
  <si>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</si>
  <si>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</si>
  <si>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</si>
  <si>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</si>
  <si>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</si>
  <si>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</si>
  <si>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</si>
  <si>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</si>
  <si>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</si>
  <si>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</si>
  <si>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</si>
  <si>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</si>
  <si>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</si>
  <si>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</si>
  <si>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</si>
  <si>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</si>
  <si>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</si>
  <si>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</si>
  <si>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</si>
  <si>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</si>
  <si>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</si>
  <si>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</si>
  <si>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</si>
  <si>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</si>
  <si>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</si>
  <si>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</si>
  <si>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</si>
  <si>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</si>
  <si>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</si>
  <si>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</si>
  <si>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</si>
  <si>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</si>
  <si>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</si>
  <si>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</si>
  <si>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</si>
  <si>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</si>
  <si>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</si>
  <si>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</si>
  <si>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</si>
  <si>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</si>
  <si>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</si>
  <si>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</si>
  <si>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</si>
  <si>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</si>
  <si>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</si>
  <si>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</si>
  <si>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</si>
  <si>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</si>
  <si>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</si>
  <si>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</si>
  <si>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</si>
  <si>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</si>
  <si>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</si>
  <si>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</si>
  <si>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</si>
  <si>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</si>
  <si>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</si>
  <si>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</si>
  <si>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</si>
  <si>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</si>
  <si>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</si>
  <si>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</si>
  <si>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</si>
  <si>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</si>
  <si>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</si>
  <si>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</si>
  <si>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</si>
  <si>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</si>
  <si>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</si>
  <si>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</si>
  <si>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</si>
  <si>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</si>
  <si>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</si>
  <si>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</si>
  <si>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</si>
  <si>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</si>
  <si>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</si>
  <si>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</si>
  <si>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</si>
  <si>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</si>
  <si>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</si>
  <si>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</si>
  <si>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</si>
  <si>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</si>
  <si>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</si>
  <si>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</si>
  <si>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</si>
  <si>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</si>
  <si>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</si>
  <si>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</si>
  <si>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</si>
  <si>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</si>
  <si>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</si>
  <si>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</si>
  <si>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</si>
  <si>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</si>
  <si>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</si>
  <si>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</si>
  <si>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</si>
  <si>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</si>
  <si>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</si>
  <si>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</si>
  <si>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</si>
  <si>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</si>
  <si>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</si>
  <si>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</si>
  <si>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</si>
  <si>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</si>
  <si>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</si>
  <si>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</si>
  <si>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</si>
  <si>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</si>
  <si>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</si>
  <si>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</si>
  <si>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</si>
  <si>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</si>
  <si>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</si>
  <si>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</si>
  <si>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</si>
  <si>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</si>
  <si>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</si>
  <si>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</si>
  <si>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</si>
  <si>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</si>
  <si>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</si>
  <si>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</si>
  <si>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</si>
  <si>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</si>
  <si>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</si>
  <si>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</si>
  <si>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</si>
  <si>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</si>
  <si>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</si>
  <si>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</si>
  <si>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</si>
  <si>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</si>
  <si>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</si>
  <si>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</si>
  <si>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</si>
  <si>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</si>
  <si>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</si>
  <si>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</si>
  <si>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</si>
  <si>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</si>
  <si>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</si>
  <si>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</si>
  <si>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</si>
  <si>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</si>
  <si>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</si>
  <si>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</si>
  <si>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</si>
  <si>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</si>
  <si>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</si>
  <si>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</si>
  <si>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</si>
  <si>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</si>
  <si>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</si>
  <si>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</si>
  <si>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</si>
  <si>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</si>
  <si>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</si>
  <si>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</si>
  <si>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</si>
  <si>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</si>
  <si>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</si>
  <si>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</si>
  <si>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</si>
  <si>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</si>
  <si>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</si>
  <si>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</si>
  <si>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</si>
  <si>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</si>
  <si>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</si>
  <si>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</si>
  <si>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</si>
  <si>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</si>
  <si>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</si>
  <si>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</si>
  <si>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</si>
  <si>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</si>
  <si>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</si>
  <si>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</si>
  <si>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</si>
  <si>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</si>
  <si>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</si>
  <si>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</si>
  <si>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</si>
  <si>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</si>
  <si>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</si>
  <si>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</si>
  <si>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</si>
  <si>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</si>
  <si>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</si>
  <si>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</si>
  <si>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</si>
  <si>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</si>
  <si>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</si>
  <si>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</si>
  <si>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</si>
  <si>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</si>
  <si>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</si>
  <si>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</si>
  <si>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</si>
  <si>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</si>
  <si>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</si>
  <si>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</si>
  <si>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</si>
  <si>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</si>
  <si>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</si>
  <si>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</si>
  <si>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</si>
  <si>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</si>
  <si>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</si>
  <si>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</si>
  <si>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</si>
  <si>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</si>
  <si>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</si>
  <si>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</si>
  <si>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</si>
  <si>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</si>
  <si>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</si>
  <si>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</si>
  <si>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</si>
  <si>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</si>
  <si>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</si>
  <si>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</si>
  <si>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</si>
  <si>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</si>
  <si>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</si>
  <si>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</si>
  <si>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</si>
  <si>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</si>
  <si>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</si>
  <si>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</si>
  <si>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</si>
  <si>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</si>
  <si>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</si>
  <si>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</si>
  <si>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</si>
  <si>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</si>
  <si>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</si>
  <si>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</si>
  <si>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</si>
  <si>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</si>
  <si>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</si>
  <si>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</si>
  <si>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</si>
  <si>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</si>
  <si>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</si>
  <si>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</si>
  <si>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</si>
  <si>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</si>
  <si>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</si>
  <si>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</si>
  <si>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</si>
  <si>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</si>
  <si>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</si>
  <si>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</si>
  <si>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</si>
  <si>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</si>
  <si>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</si>
  <si>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</si>
  <si>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</si>
  <si>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</si>
  <si>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</si>
  <si>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</si>
  <si>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</si>
  <si>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</si>
  <si>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</si>
  <si>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</si>
  <si>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</si>
  <si>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</si>
  <si>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</si>
  <si>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</si>
  <si>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</si>
  <si>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</si>
  <si>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</si>
  <si>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</si>
  <si>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</si>
  <si>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</si>
  <si>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</si>
  <si>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</si>
  <si>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</si>
  <si>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</si>
  <si>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</si>
  <si>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</si>
  <si>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</si>
  <si>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</si>
  <si>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</si>
  <si>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</si>
  <si>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</si>
  <si>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</si>
  <si>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</si>
  <si>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</si>
  <si>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</si>
  <si>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</si>
  <si>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</si>
  <si>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</si>
  <si>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</si>
  <si>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</si>
  <si>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</si>
  <si>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</si>
  <si>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</si>
  <si>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</si>
  <si>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</si>
  <si>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</si>
  <si>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</si>
  <si>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</si>
  <si>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</si>
  <si>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</si>
  <si>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</si>
  <si>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</si>
  <si>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</si>
  <si>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</si>
  <si>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</si>
  <si>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</si>
  <si>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</si>
  <si>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</si>
  <si>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</si>
  <si>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</si>
  <si>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</si>
  <si>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</si>
  <si>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</si>
  <si>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</si>
  <si>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</si>
  <si>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</si>
  <si>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</si>
  <si>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</si>
  <si>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</si>
  <si>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</si>
  <si>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</si>
  <si>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</si>
  <si>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</si>
  <si>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</si>
  <si>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</si>
  <si>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</si>
  <si>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</si>
  <si>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</si>
  <si>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</si>
  <si>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</si>
  <si>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</si>
  <si>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</si>
  <si>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</si>
  <si>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</si>
  <si>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</si>
  <si>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</si>
  <si>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</si>
  <si>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</si>
  <si>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</si>
  <si>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</si>
  <si>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</si>
  <si>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</si>
  <si>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</si>
  <si>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</si>
  <si>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</si>
  <si>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</si>
  <si>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</si>
  <si>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</si>
  <si>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</si>
  <si>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</si>
  <si>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</si>
  <si>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</si>
  <si>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</si>
  <si>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</si>
  <si>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</si>
  <si>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</si>
  <si>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</si>
  <si>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</si>
  <si>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</si>
  <si>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</si>
  <si>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</si>
  <si>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</si>
  <si>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</si>
  <si>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</si>
  <si>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</si>
  <si>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</si>
  <si>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</si>
  <si>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</si>
  <si>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</si>
  <si>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</si>
  <si>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</si>
  <si>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</si>
  <si>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</si>
  <si>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</si>
  <si>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</si>
  <si>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</si>
  <si>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</si>
  <si>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</si>
  <si>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</si>
  <si>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</si>
  <si>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</si>
  <si>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</si>
  <si>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</si>
  <si>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</si>
  <si>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</si>
  <si>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</si>
  <si>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</si>
  <si>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</si>
  <si>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</si>
  <si>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</si>
  <si>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</si>
  <si>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</si>
  <si>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</si>
  <si>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</si>
  <si>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</si>
  <si>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</si>
  <si>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</si>
  <si>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</si>
  <si>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</si>
  <si>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</si>
  <si>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</si>
  <si>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</si>
  <si>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</si>
  <si>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</si>
  <si>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</si>
  <si>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</si>
  <si>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</si>
  <si>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</si>
  <si>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</si>
  <si>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</si>
  <si>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</si>
  <si>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</si>
  <si>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</si>
  <si>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</si>
  <si>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</si>
  <si>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</si>
  <si>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</si>
  <si>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</si>
  <si>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</si>
  <si>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</si>
  <si>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</si>
  <si>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</si>
  <si>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</si>
  <si>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</si>
  <si>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</si>
  <si>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</si>
  <si>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</si>
  <si>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</si>
  <si>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</si>
  <si>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</si>
  <si>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</si>
  <si>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</si>
  <si>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</si>
  <si>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</si>
  <si>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</si>
  <si>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</si>
  <si>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</si>
  <si>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</si>
  <si>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</si>
  <si>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</si>
  <si>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</si>
  <si>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</si>
  <si>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</si>
  <si>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</si>
  <si>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</si>
  <si>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</si>
  <si>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</si>
  <si>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</si>
  <si>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</si>
  <si>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</si>
  <si>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</si>
  <si>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</si>
  <si>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</si>
  <si>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</si>
  <si>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</si>
  <si>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</si>
  <si>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</si>
  <si>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</si>
  <si>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</si>
  <si>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</si>
  <si>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</si>
  <si>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</si>
  <si>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</si>
  <si>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</si>
  <si>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</si>
  <si>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</si>
  <si>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</si>
  <si>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</si>
  <si>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</si>
  <si>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</si>
  <si>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</si>
  <si>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</si>
  <si>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</si>
  <si>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</si>
  <si>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</si>
  <si>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</si>
  <si>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</si>
  <si>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</si>
  <si>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</si>
  <si>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</si>
  <si>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</si>
  <si>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</si>
  <si>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</si>
  <si>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</si>
  <si>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</si>
  <si>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</si>
  <si>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</si>
  <si>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</si>
  <si>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</si>
  <si>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</si>
  <si>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</si>
  <si>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</si>
  <si>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</si>
  <si>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</si>
  <si>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</si>
  <si>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</si>
  <si>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</si>
  <si>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</si>
  <si>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</si>
  <si>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</si>
  <si>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</si>
  <si>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</si>
  <si>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</si>
  <si>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</si>
  <si>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</si>
  <si>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</si>
  <si>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</si>
  <si>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</si>
  <si>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</si>
  <si>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</si>
  <si>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</si>
  <si>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</si>
  <si>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</si>
  <si>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</si>
  <si>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</si>
  <si>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</si>
  <si>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</si>
  <si>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</si>
  <si>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</si>
  <si>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</si>
  <si>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</si>
  <si>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</si>
  <si>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</si>
  <si>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</si>
  <si>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</si>
  <si>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</si>
  <si>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</si>
  <si>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</si>
  <si>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</si>
  <si>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</si>
  <si>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</si>
  <si>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</si>
  <si>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</si>
  <si>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</si>
  <si>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</si>
  <si>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</si>
  <si>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</si>
  <si>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</si>
  <si>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</si>
  <si>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</si>
  <si>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</si>
  <si>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</si>
  <si>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</si>
  <si>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</si>
  <si>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</si>
  <si>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</si>
  <si>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</si>
  <si>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</si>
  <si>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</si>
  <si>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</si>
  <si>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</si>
  <si>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</si>
  <si>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</si>
  <si>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</si>
  <si>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</si>
  <si>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</si>
  <si>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</si>
  <si>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</si>
  <si>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</si>
  <si>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</si>
  <si>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</si>
  <si>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</si>
  <si>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</si>
  <si>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</si>
  <si>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</si>
  <si>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</si>
  <si>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</si>
  <si>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</si>
  <si>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</si>
  <si>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</si>
  <si>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</si>
  <si>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</si>
  <si>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</si>
  <si>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</si>
  <si>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</si>
  <si>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</si>
  <si>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</si>
  <si>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</si>
  <si>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</si>
  <si>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</si>
  <si>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</si>
  <si>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</si>
  <si>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</si>
  <si>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</si>
  <si>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</si>
  <si>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</si>
  <si>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</si>
  <si>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</si>
  <si>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</si>
  <si>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</si>
  <si>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</si>
  <si>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</si>
  <si>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</si>
  <si>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</si>
  <si>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</si>
  <si>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</si>
  <si>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</si>
  <si>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</si>
  <si>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</si>
  <si>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</si>
  <si>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</si>
  <si>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</si>
  <si>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</si>
  <si>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</si>
  <si>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</si>
  <si>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</si>
  <si>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</si>
  <si>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</si>
  <si>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</si>
  <si>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</si>
  <si>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</si>
  <si>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</si>
  <si>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</si>
  <si>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</si>
  <si>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</si>
  <si>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</si>
  <si>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</si>
  <si>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</si>
  <si>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</si>
  <si>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</si>
  <si>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</si>
  <si>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</si>
  <si>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</si>
  <si>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</si>
  <si>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</si>
  <si>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</si>
  <si>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</si>
  <si>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</si>
  <si>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</si>
  <si>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</si>
  <si>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</si>
  <si>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</si>
  <si>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</si>
  <si>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</si>
  <si>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</si>
  <si>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</si>
  <si>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</si>
  <si>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</si>
  <si>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</si>
  <si>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</si>
  <si>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</si>
  <si>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</si>
  <si>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</si>
  <si>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</si>
  <si>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</si>
  <si>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</si>
  <si>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</si>
  <si>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</si>
  <si>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</si>
  <si>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</si>
  <si>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</si>
  <si>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</si>
  <si>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</si>
  <si>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</si>
  <si>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</si>
  <si>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</si>
  <si>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</si>
  <si>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</si>
  <si>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</si>
  <si>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</si>
  <si>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</si>
  <si>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</si>
  <si>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</si>
  <si>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</si>
  <si>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</si>
  <si>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</si>
  <si>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</si>
  <si>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</si>
  <si>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</si>
  <si>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</si>
  <si>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</si>
  <si>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</si>
  <si>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</si>
  <si>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</si>
  <si>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</si>
  <si>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</si>
  <si>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</si>
  <si>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</si>
  <si>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</si>
  <si>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</si>
  <si>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</si>
  <si>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</si>
  <si>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</si>
  <si>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</si>
  <si>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</si>
  <si>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</si>
  <si>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</si>
  <si>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</si>
  <si>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</si>
  <si>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</si>
  <si>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</si>
  <si>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</si>
  <si>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</si>
  <si>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</si>
  <si>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</si>
  <si>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</si>
  <si>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</si>
  <si>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</si>
  <si>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</si>
  <si>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</si>
  <si>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</si>
  <si>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</si>
  <si>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</si>
  <si>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</si>
  <si>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</si>
  <si>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</si>
  <si>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</si>
  <si>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</si>
  <si>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</si>
  <si>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</si>
  <si>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</si>
  <si>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</si>
  <si>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</si>
  <si>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</si>
  <si>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</si>
  <si>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</si>
  <si>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</si>
  <si>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</si>
  <si>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</si>
  <si>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</si>
  <si>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</si>
  <si>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</si>
  <si>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</si>
  <si>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</si>
  <si>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</si>
  <si>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</si>
  <si>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</si>
  <si>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</si>
  <si>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</si>
  <si>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</si>
  <si>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</si>
  <si>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</si>
  <si>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</si>
  <si>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</si>
  <si>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</si>
  <si>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</si>
  <si>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</si>
  <si>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</si>
  <si>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</si>
  <si>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</si>
  <si>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</si>
  <si>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</si>
  <si>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</si>
  <si>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</si>
  <si>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</si>
  <si>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</si>
  <si>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</si>
  <si>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</si>
  <si>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</si>
  <si>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</si>
  <si>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</si>
  <si>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</si>
  <si>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</si>
  <si>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</si>
  <si>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</si>
  <si>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</si>
  <si>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</si>
  <si>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</si>
  <si>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</si>
  <si>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</si>
  <si>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</si>
  <si>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</si>
  <si>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</si>
  <si>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</si>
  <si>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</si>
  <si>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</si>
  <si>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</si>
  <si>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</si>
  <si>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</si>
  <si>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</si>
  <si>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</si>
  <si>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</si>
  <si>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</si>
  <si>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</si>
  <si>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</si>
  <si>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</si>
  <si>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</si>
  <si>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</si>
  <si>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</si>
  <si>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</si>
  <si>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</si>
  <si>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</si>
  <si>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</si>
  <si>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</si>
  <si>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</si>
  <si>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</si>
  <si>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</si>
  <si>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</si>
  <si>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</si>
  <si>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</si>
  <si>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</si>
  <si>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</si>
  <si>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</si>
  <si>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</si>
  <si>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</si>
  <si>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</si>
  <si>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</si>
  <si>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</si>
  <si>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</si>
  <si>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</si>
  <si>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</si>
  <si>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</si>
  <si>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</si>
  <si>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</si>
  <si>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</si>
  <si>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</si>
  <si>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</si>
  <si>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</si>
  <si>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</si>
  <si>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</si>
  <si>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</si>
  <si>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</si>
  <si>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</si>
  <si>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</si>
  <si>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</si>
  <si>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</si>
  <si>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</si>
  <si>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</si>
  <si>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</si>
  <si>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</si>
  <si>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</si>
  <si>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</si>
  <si>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</si>
  <si>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</si>
  <si>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</si>
  <si>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</si>
  <si>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</si>
  <si>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</si>
  <si>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</si>
  <si>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</si>
  <si>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</si>
  <si>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</si>
  <si>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</si>
  <si>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</si>
  <si>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</si>
  <si>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</si>
  <si>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</si>
  <si>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</si>
  <si>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</si>
  <si>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</si>
  <si>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</si>
  <si>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</si>
  <si>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</si>
  <si>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</si>
  <si>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</si>
  <si>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</si>
  <si>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</si>
  <si>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</si>
  <si>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</si>
  <si>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</si>
  <si>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</si>
  <si>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</si>
  <si>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</si>
  <si>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</si>
  <si>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</si>
  <si>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</si>
  <si>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</si>
  <si>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</si>
  <si>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</si>
  <si>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</si>
  <si>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</si>
  <si>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</si>
  <si>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</si>
  <si>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</si>
  <si>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</si>
  <si>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</si>
  <si>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</si>
  <si>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</si>
  <si>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</si>
  <si>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</si>
  <si>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</si>
  <si>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</si>
  <si>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</si>
  <si>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</si>
  <si>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</si>
  <si>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</si>
  <si>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</si>
  <si>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</si>
  <si>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</si>
  <si>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</si>
  <si>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</si>
  <si>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</si>
  <si>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</si>
  <si>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</si>
  <si>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</si>
  <si>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</si>
  <si>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</si>
  <si>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</si>
  <si>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</si>
  <si>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</si>
  <si>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</si>
  <si>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</si>
  <si>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</si>
  <si>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</si>
  <si>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</si>
  <si>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</si>
  <si>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</si>
  <si>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</si>
  <si>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</si>
  <si>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</si>
  <si>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</si>
  <si>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</si>
  <si>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</si>
  <si>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</si>
  <si>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</si>
  <si>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</si>
  <si>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</si>
  <si>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</si>
  <si>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</si>
  <si>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</si>
  <si>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</si>
  <si>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</si>
  <si>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</si>
  <si>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</si>
  <si>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</si>
  <si>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</si>
  <si>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</si>
  <si>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</si>
  <si>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</si>
  <si>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</si>
  <si>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</si>
  <si>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</si>
  <si>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</si>
  <si>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</si>
  <si>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</si>
  <si>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</si>
  <si>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</si>
  <si>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</si>
  <si>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</si>
  <si>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</si>
  <si>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</si>
  <si>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</si>
  <si>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</si>
  <si>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</si>
  <si>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</si>
  <si>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</si>
  <si>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</si>
  <si>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</si>
  <si>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</si>
  <si>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</si>
  <si>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</si>
  <si>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</si>
  <si>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</si>
  <si>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</si>
  <si>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</si>
  <si>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</si>
  <si>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</si>
  <si>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</si>
  <si>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</si>
  <si>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</si>
  <si>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</si>
  <si>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</si>
  <si>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</si>
  <si>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</si>
  <si>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</si>
  <si>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</si>
  <si>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</si>
  <si>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</si>
  <si>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</si>
  <si>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</si>
  <si>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</si>
  <si>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</si>
  <si>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</si>
  <si>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</si>
  <si>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</si>
  <si>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</si>
  <si>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</si>
  <si>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</si>
  <si>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</si>
  <si>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</si>
  <si>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</si>
  <si>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</si>
  <si>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</si>
  <si>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</si>
  <si>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</si>
  <si>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</si>
  <si>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</si>
  <si>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</si>
  <si>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</si>
  <si>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</si>
  <si>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</si>
  <si>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</si>
  <si>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</si>
  <si>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</si>
  <si>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</si>
  <si>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</si>
  <si>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</si>
  <si>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</si>
  <si>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</si>
  <si>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</si>
  <si>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</si>
  <si>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</si>
  <si>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</si>
  <si>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</si>
  <si>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</si>
  <si>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</si>
  <si>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</si>
  <si>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</si>
  <si>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</si>
  <si>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</si>
  <si>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</si>
  <si>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</si>
  <si>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</si>
  <si>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</si>
  <si>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</si>
  <si>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</si>
  <si>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</si>
  <si>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</si>
  <si>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</si>
  <si>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</si>
  <si>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</si>
  <si>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</si>
  <si>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</si>
  <si>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</si>
  <si>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</si>
  <si>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</si>
  <si>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</si>
  <si>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</si>
  <si>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</si>
  <si>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</si>
  <si>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</si>
  <si>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</si>
  <si>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</si>
  <si>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</si>
  <si>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</si>
  <si>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</si>
  <si>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</si>
  <si>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</si>
  <si>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</si>
  <si>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</si>
  <si>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</si>
  <si>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</si>
  <si>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</si>
  <si>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</si>
  <si>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</si>
  <si>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</si>
  <si>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</si>
  <si>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</si>
  <si>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</si>
  <si>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</si>
  <si>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</si>
  <si>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</si>
  <si>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</si>
  <si>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</si>
  <si>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</si>
  <si>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</si>
  <si>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</si>
  <si>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</si>
  <si>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</si>
  <si>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</si>
  <si>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</si>
  <si>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</si>
  <si>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</si>
  <si>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</si>
  <si>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</si>
  <si>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</si>
  <si>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</si>
  <si>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</si>
  <si>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</si>
  <si>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</si>
  <si>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</si>
  <si>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</si>
  <si>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</si>
  <si>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</si>
  <si>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</si>
  <si>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</si>
  <si>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</si>
  <si>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</si>
  <si>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</si>
  <si>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</si>
  <si>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</si>
  <si>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</si>
  <si>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</si>
  <si>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</si>
  <si>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</si>
  <si>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</si>
  <si>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</si>
  <si>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</si>
  <si>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</si>
  <si>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</si>
  <si>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</si>
  <si>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</si>
  <si>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</si>
  <si>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</si>
  <si>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</si>
  <si>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</si>
  <si>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</si>
  <si>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</si>
  <si>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</si>
  <si>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</si>
  <si>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</si>
  <si>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</si>
  <si>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</si>
  <si>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</si>
  <si>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</si>
  <si>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</si>
  <si>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</si>
  <si>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</si>
  <si>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</si>
  <si>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</si>
  <si>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</si>
  <si>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</si>
  <si>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</si>
  <si>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</si>
  <si>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</si>
  <si>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</si>
  <si>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</si>
  <si>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</si>
  <si>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</si>
  <si>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</si>
  <si>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</si>
  <si>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</si>
  <si>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</si>
  <si>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</si>
  <si>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</si>
  <si>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</si>
  <si>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</si>
  <si>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</si>
  <si>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</si>
  <si>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</si>
  <si>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</si>
  <si>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</si>
  <si>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</si>
  <si>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</si>
  <si>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</si>
  <si>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</si>
  <si>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</si>
  <si>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</si>
  <si>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</si>
  <si>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</si>
  <si>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</si>
  <si>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</si>
  <si>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</si>
  <si>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</si>
  <si>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</si>
  <si>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</si>
  <si>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</si>
  <si>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</si>
  <si>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</si>
  <si>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</si>
  <si>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</si>
  <si>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</si>
  <si>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</si>
  <si>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</si>
  <si>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</si>
  <si>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</si>
  <si>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</si>
  <si>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</si>
  <si>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</si>
  <si>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</si>
  <si>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</si>
  <si>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</si>
  <si>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</si>
  <si>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</si>
  <si>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</si>
  <si>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</si>
  <si>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</si>
  <si>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</si>
  <si>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</si>
  <si>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</si>
  <si>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</si>
  <si>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</si>
  <si>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</si>
  <si>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</si>
  <si>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</si>
  <si>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</si>
  <si>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</si>
  <si>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</si>
  <si>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</si>
  <si>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</si>
  <si>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</si>
  <si>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</si>
  <si>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</si>
  <si>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</si>
  <si>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</si>
  <si>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</si>
  <si>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</si>
  <si>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</si>
  <si>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</si>
  <si>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</si>
  <si>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</si>
  <si>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</si>
  <si>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</si>
  <si>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</si>
  <si>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</si>
  <si>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</si>
  <si>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</si>
  <si>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</si>
  <si>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</si>
  <si>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</si>
  <si>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</si>
  <si>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</si>
  <si>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</si>
  <si>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</si>
  <si>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</si>
  <si>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</si>
  <si>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</si>
  <si>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</si>
  <si>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</si>
  <si>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</si>
  <si>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</si>
  <si>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</si>
  <si>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</si>
  <si>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</si>
  <si>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</si>
  <si>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</si>
  <si>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</si>
  <si>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</si>
  <si>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</si>
  <si>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</si>
  <si>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</si>
  <si>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</si>
  <si>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</si>
  <si>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</si>
  <si>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</si>
  <si>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</si>
  <si>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</si>
  <si>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</si>
  <si>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</si>
  <si>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</si>
  <si>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</si>
  <si>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</si>
  <si>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</si>
  <si>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</si>
  <si>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</si>
  <si>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</si>
  <si>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</si>
  <si>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</si>
  <si>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</si>
  <si>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</si>
  <si>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</si>
  <si>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</si>
  <si>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</si>
  <si>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</si>
  <si>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</si>
  <si>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</si>
  <si>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</si>
  <si>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</si>
  <si>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</si>
  <si>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</si>
  <si>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</si>
  <si>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</si>
  <si>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</si>
  <si>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</si>
  <si>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</si>
  <si>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</si>
  <si>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</si>
  <si>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</si>
  <si>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</si>
  <si>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</si>
  <si>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</si>
  <si>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</si>
  <si>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</si>
  <si>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</si>
  <si>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</si>
  <si>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</si>
  <si>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</si>
  <si>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</si>
  <si>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</si>
  <si>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</si>
  <si>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</si>
  <si>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</si>
  <si>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</si>
  <si>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</si>
  <si>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</si>
  <si>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</si>
  <si>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</si>
  <si>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</si>
  <si>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</si>
  <si>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</si>
  <si>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</si>
  <si>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</si>
  <si>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</si>
  <si>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</si>
  <si>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</si>
  <si>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</si>
  <si>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</si>
  <si>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</si>
  <si>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</si>
  <si>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</si>
  <si>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</si>
  <si>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</si>
  <si>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</si>
  <si>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</si>
  <si>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</si>
  <si>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</si>
  <si>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</si>
  <si>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</si>
  <si>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</si>
  <si>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</si>
  <si>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</si>
  <si>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</si>
  <si>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</si>
  <si>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</si>
  <si>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</si>
  <si>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</si>
  <si>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</si>
  <si>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</si>
  <si>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</si>
  <si>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</si>
  <si>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</si>
  <si>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</si>
  <si>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</si>
  <si>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</si>
  <si>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</si>
  <si>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</si>
  <si>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</si>
  <si>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</si>
  <si>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</si>
  <si>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</si>
  <si>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</si>
  <si>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</si>
  <si>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</si>
  <si>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</si>
  <si>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</si>
  <si>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</si>
  <si>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</si>
  <si>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</si>
  <si>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</si>
  <si>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</si>
  <si>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</si>
  <si>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</si>
  <si>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</si>
  <si>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</si>
  <si>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</si>
  <si>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</si>
  <si>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</si>
  <si>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</si>
  <si>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</si>
  <si>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</si>
  <si>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</si>
  <si>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</si>
  <si>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</si>
  <si>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</si>
  <si>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</si>
  <si>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</si>
  <si>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</si>
  <si>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</si>
  <si>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</si>
  <si>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</si>
  <si>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</si>
  <si>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</si>
  <si>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</si>
  <si>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</si>
  <si>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</si>
  <si>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</si>
  <si>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</si>
  <si>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</si>
  <si>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</si>
  <si>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</si>
  <si>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</si>
  <si>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</si>
  <si>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</si>
  <si>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</si>
  <si>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</si>
  <si>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</si>
  <si>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</si>
  <si>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</si>
  <si>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</si>
  <si>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</si>
  <si>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</si>
  <si>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</si>
  <si>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</si>
  <si>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</si>
  <si>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</si>
  <si>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</si>
  <si>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</si>
  <si>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</si>
  <si>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</si>
  <si>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</si>
  <si>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</si>
  <si>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</si>
  <si>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</si>
  <si>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</si>
  <si>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</si>
  <si>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</si>
  <si>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</si>
  <si>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</si>
  <si>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</si>
  <si>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</si>
  <si>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</si>
  <si>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</si>
  <si>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</si>
  <si>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</si>
  <si>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</si>
  <si>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</si>
  <si>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</si>
  <si>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</si>
  <si>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</si>
  <si>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</si>
  <si>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</si>
  <si>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</si>
  <si>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</si>
  <si>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</si>
  <si>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</si>
  <si>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</si>
  <si>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</si>
  <si>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</si>
  <si>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</si>
  <si>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</si>
  <si>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</si>
  <si>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</si>
  <si>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</si>
  <si>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</si>
  <si>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</si>
  <si>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</si>
  <si>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</si>
  <si>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</si>
  <si>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</si>
  <si>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</si>
  <si>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</si>
  <si>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</si>
  <si>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</si>
  <si>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</si>
  <si>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</si>
  <si>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</si>
  <si>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</si>
  <si>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</si>
  <si>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</si>
  <si>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</si>
  <si>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</si>
  <si>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</si>
  <si>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</si>
  <si>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</si>
  <si>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</si>
  <si>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</si>
  <si>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</si>
  <si>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</si>
  <si>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</si>
  <si>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</si>
  <si>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</si>
  <si>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</si>
  <si>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</si>
  <si>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</si>
  <si>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</si>
  <si>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</si>
  <si>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</si>
  <si>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</si>
  <si>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</si>
  <si>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</si>
  <si>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</si>
  <si>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</si>
  <si>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</si>
  <si>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</si>
  <si>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</si>
  <si>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</si>
  <si>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</si>
  <si>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</si>
  <si>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</si>
  <si>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</si>
  <si>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</si>
  <si>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</si>
  <si>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</si>
  <si>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</si>
  <si>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</si>
  <si>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</si>
  <si>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</si>
  <si>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</si>
  <si>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</si>
  <si>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</si>
  <si>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</si>
  <si>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</si>
  <si>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</si>
  <si>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</si>
  <si>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</si>
  <si>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</si>
  <si>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</si>
  <si>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</si>
  <si>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</si>
  <si>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</si>
  <si>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</si>
  <si>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</si>
  <si>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</si>
  <si>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</si>
  <si>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</si>
  <si>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</si>
  <si>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</si>
  <si>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</si>
  <si>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</si>
  <si>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</si>
  <si>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</si>
  <si>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</si>
  <si>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</si>
  <si>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</si>
  <si>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</si>
  <si>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</si>
  <si>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</si>
  <si>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</si>
  <si>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</si>
  <si>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</si>
  <si>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</si>
  <si>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</si>
  <si>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</si>
  <si>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</si>
  <si>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</si>
  <si>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</si>
  <si>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</si>
  <si>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</si>
  <si>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</si>
  <si>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</si>
  <si>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</si>
  <si>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</si>
  <si>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</si>
  <si>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</si>
  <si>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</si>
  <si>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</si>
  <si>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</si>
  <si>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</si>
  <si>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</si>
  <si>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</si>
  <si>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</si>
  <si>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</si>
  <si>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</si>
  <si>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</si>
  <si>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</si>
  <si>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</si>
  <si>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</si>
  <si>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</si>
  <si>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</si>
  <si>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</si>
  <si>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</si>
  <si>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</si>
  <si>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</si>
  <si>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</si>
  <si>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</si>
  <si>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</si>
  <si>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</si>
  <si>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</si>
  <si>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</si>
  <si>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</si>
  <si>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</si>
  <si>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</si>
  <si>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</si>
  <si>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</si>
  <si>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</si>
  <si>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</si>
  <si>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</si>
  <si>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</si>
  <si>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</si>
  <si>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</si>
  <si>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</si>
  <si>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</si>
  <si>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</si>
  <si>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</si>
  <si>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</si>
  <si>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</si>
  <si>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</si>
  <si>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</si>
  <si>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</si>
  <si>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</si>
  <si>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</si>
  <si>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</si>
  <si>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</si>
  <si>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</si>
  <si>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</si>
  <si>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</si>
  <si>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</si>
  <si>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</si>
  <si>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</si>
  <si>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</si>
  <si>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</si>
  <si>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</si>
  <si>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</si>
  <si>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</si>
  <si>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</si>
  <si>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</si>
  <si>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</si>
  <si>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</si>
  <si>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</si>
  <si>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</si>
  <si>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</si>
  <si>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</si>
  <si>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</si>
  <si>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</si>
  <si>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</si>
  <si>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</si>
  <si>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</si>
  <si>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</si>
  <si>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</si>
  <si>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</si>
  <si>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</si>
  <si>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</si>
  <si>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</si>
  <si>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</si>
  <si>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</si>
  <si>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</si>
  <si>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</si>
  <si>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</si>
  <si>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</si>
  <si>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</si>
  <si>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</si>
  <si>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</si>
  <si>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</si>
  <si>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</si>
  <si>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</si>
  <si>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</si>
  <si>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</si>
  <si>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</si>
  <si>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</si>
  <si>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</si>
  <si>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</si>
  <si>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</si>
  <si>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</si>
  <si>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</si>
  <si>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</si>
  <si>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</si>
  <si>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</si>
  <si>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</si>
  <si>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</si>
  <si>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</si>
  <si>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</si>
  <si>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</si>
  <si>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</si>
  <si>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</si>
  <si>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</si>
  <si>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</si>
  <si>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</si>
  <si>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</si>
  <si>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</si>
  <si>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</si>
  <si>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</si>
  <si>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</si>
  <si>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</si>
  <si>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</si>
  <si>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</si>
  <si>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</si>
  <si>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</si>
  <si>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</si>
  <si>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</si>
  <si>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</si>
  <si>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</si>
  <si>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</si>
  <si>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</si>
  <si>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</si>
  <si>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</si>
  <si>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</si>
  <si>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</si>
  <si>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</si>
  <si>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</si>
  <si>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</si>
  <si>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</si>
  <si>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</si>
  <si>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</si>
  <si>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</si>
  <si>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</si>
  <si>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</si>
  <si>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</si>
  <si>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</si>
  <si>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</si>
  <si>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</si>
  <si>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</si>
  <si>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</si>
  <si>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</si>
  <si>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</si>
  <si>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</si>
  <si>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</si>
  <si>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</si>
  <si>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</si>
  <si>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</si>
  <si>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</si>
  <si>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</si>
  <si>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</si>
  <si>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</si>
  <si>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</si>
  <si>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</si>
  <si>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</si>
  <si>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</si>
  <si>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</si>
  <si>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</si>
  <si>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</si>
  <si>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</si>
  <si>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</si>
  <si>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</si>
  <si>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</si>
  <si>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</si>
  <si>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</si>
  <si>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</si>
  <si>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</si>
  <si>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</si>
  <si>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</si>
  <si>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</si>
  <si>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</si>
  <si>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</si>
  <si>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</si>
  <si>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</si>
  <si>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</si>
  <si>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</si>
  <si>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</si>
  <si>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</si>
  <si>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</si>
  <si>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</si>
  <si>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</si>
  <si>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</si>
  <si>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</si>
  <si>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</si>
  <si>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</si>
  <si>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</si>
  <si>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</si>
  <si>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</si>
  <si>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</si>
  <si>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</si>
  <si>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</si>
  <si>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</si>
  <si>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</si>
  <si>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</si>
  <si>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</si>
  <si>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</si>
  <si>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</si>
  <si>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</si>
  <si>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</si>
  <si>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</si>
  <si>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</si>
  <si>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</si>
  <si>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</si>
  <si>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</si>
  <si>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</si>
  <si>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</si>
  <si>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</si>
  <si>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</si>
  <si>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</si>
  <si>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</si>
  <si>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</si>
  <si>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</si>
  <si>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</si>
  <si>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</si>
  <si>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</si>
  <si>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</si>
  <si>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</si>
  <si>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</si>
  <si>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</si>
  <si>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</si>
  <si>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</si>
  <si>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</si>
  <si>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</si>
  <si>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</si>
  <si>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</si>
  <si>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</si>
  <si>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</si>
  <si>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</si>
  <si>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</si>
  <si>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</si>
  <si>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</si>
  <si>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</si>
  <si>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</si>
  <si>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</si>
  <si>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</si>
  <si>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</si>
  <si>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</si>
  <si>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</si>
  <si>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</si>
  <si>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</si>
  <si>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</si>
  <si>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</si>
  <si>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</si>
  <si>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</si>
  <si>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</si>
  <si>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</si>
  <si>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</si>
  <si>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</si>
  <si>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</si>
  <si>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</si>
  <si>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</si>
  <si>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</si>
  <si>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</si>
  <si>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</si>
  <si>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</si>
  <si>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</si>
  <si>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</si>
  <si>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</si>
  <si>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</si>
  <si>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</si>
  <si>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</si>
  <si>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</si>
  <si>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</si>
  <si>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</si>
  <si>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</si>
  <si>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</si>
  <si>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</si>
  <si>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</si>
  <si>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</si>
  <si>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</si>
  <si>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</si>
  <si>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</si>
  <si>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</si>
  <si>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</si>
  <si>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</si>
  <si>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</si>
  <si>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</si>
  <si>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</si>
  <si>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</si>
  <si>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</si>
  <si>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</si>
  <si>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</si>
  <si>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</si>
  <si>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</si>
  <si>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</si>
  <si>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</si>
  <si>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</si>
  <si>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</si>
  <si>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</si>
  <si>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</si>
  <si>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</si>
  <si>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</si>
  <si>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</si>
  <si>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</si>
  <si>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</si>
  <si>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</si>
  <si>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</si>
  <si>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</si>
  <si>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</si>
  <si>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</si>
  <si>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</si>
  <si>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</si>
  <si>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</si>
  <si>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</si>
  <si>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</si>
  <si>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</si>
  <si>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</si>
  <si>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</si>
  <si>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</si>
  <si>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</si>
  <si>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</si>
  <si>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</si>
  <si>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</si>
  <si>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</si>
  <si>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</si>
  <si>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</si>
  <si>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</si>
  <si>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</si>
  <si>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</si>
  <si>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</si>
  <si>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</si>
  <si>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</si>
  <si>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</si>
  <si>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</si>
  <si>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</si>
  <si>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</si>
  <si>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</si>
  <si>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</si>
  <si>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</si>
  <si>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</si>
  <si>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</si>
  <si>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</si>
  <si>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</si>
  <si>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</si>
  <si>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</si>
  <si>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</si>
  <si>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</si>
  <si>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</si>
  <si>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</si>
  <si>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</si>
  <si>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</si>
  <si>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</si>
  <si>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</si>
  <si>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</si>
  <si>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</si>
  <si>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</si>
  <si>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</si>
  <si>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</si>
  <si>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</si>
  <si>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</si>
  <si>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</si>
  <si>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</si>
  <si>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</si>
  <si>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</si>
  <si>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</si>
  <si>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</si>
  <si>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</si>
  <si>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</si>
  <si>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</si>
  <si>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</si>
  <si>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</si>
  <si>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</si>
  <si>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</si>
  <si>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</si>
  <si>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</si>
  <si>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</si>
  <si>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</si>
  <si>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</si>
  <si>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</si>
  <si>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</si>
  <si>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</si>
  <si>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</si>
  <si>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</si>
  <si>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</si>
  <si>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</si>
  <si>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</si>
  <si>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</si>
  <si>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</si>
  <si>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</si>
  <si>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</si>
  <si>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</si>
  <si>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</si>
  <si>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</si>
  <si>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</si>
  <si>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</si>
  <si>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</si>
  <si>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</si>
  <si>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</si>
  <si>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</si>
  <si>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</si>
  <si>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</si>
  <si>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</si>
  <si>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</si>
  <si>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</si>
  <si>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</si>
  <si>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</si>
  <si>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</si>
  <si>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</si>
  <si>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</si>
  <si>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</si>
  <si>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</si>
  <si>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</si>
  <si>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</si>
  <si>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</si>
  <si>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</si>
  <si>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</si>
  <si>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</si>
  <si>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</si>
  <si>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</si>
  <si>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</si>
  <si>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</si>
  <si>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</si>
  <si>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</si>
  <si>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</si>
  <si>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</si>
  <si>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</si>
  <si>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</si>
  <si>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</si>
  <si>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</si>
  <si>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</si>
  <si>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</si>
  <si>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</si>
  <si>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</si>
  <si>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</si>
  <si>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</si>
  <si>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</si>
  <si>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</si>
  <si>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</si>
  <si>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</si>
  <si>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</si>
  <si>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</si>
  <si>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</si>
  <si>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</si>
  <si>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</si>
  <si>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</si>
  <si>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</si>
  <si>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</si>
  <si>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</si>
  <si>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</si>
  <si>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</si>
  <si>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</si>
  <si>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</si>
  <si>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</si>
  <si>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</si>
  <si>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</si>
  <si>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</si>
  <si>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</si>
  <si>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</si>
  <si>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</si>
  <si>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</si>
  <si>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</si>
  <si>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</si>
  <si>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</si>
  <si>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</si>
  <si>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</si>
  <si>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</si>
  <si>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</si>
  <si>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</si>
  <si>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</si>
  <si>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</si>
  <si>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</si>
  <si>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</si>
  <si>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</si>
  <si>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</si>
  <si>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</si>
  <si>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</si>
  <si>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</si>
  <si>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</si>
  <si>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</si>
  <si>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</si>
  <si>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</si>
  <si>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</si>
  <si>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</si>
  <si>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</si>
  <si>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</si>
  <si>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</si>
  <si>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</si>
  <si>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</si>
  <si>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</si>
  <si>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</si>
  <si>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</si>
  <si>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</si>
  <si>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</si>
  <si>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</si>
  <si>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</si>
  <si>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</si>
  <si>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</si>
  <si>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</si>
  <si>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</si>
  <si>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</si>
  <si>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</si>
  <si>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</si>
  <si>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</si>
  <si>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</si>
  <si>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</si>
  <si>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</si>
  <si>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</si>
  <si>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</si>
  <si>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</si>
  <si>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</si>
  <si>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</si>
  <si>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</si>
  <si>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</si>
  <si>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</si>
  <si>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</si>
  <si>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</si>
  <si>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</si>
  <si>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</si>
  <si>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</si>
  <si>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</si>
  <si>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</si>
  <si>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</si>
  <si>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</si>
  <si>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</si>
  <si>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</si>
  <si>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</si>
  <si>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</si>
  <si>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</si>
  <si>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</si>
  <si>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</si>
  <si>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</si>
  <si>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</si>
  <si>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</si>
  <si>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</si>
  <si>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</si>
  <si>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</si>
  <si>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</si>
  <si>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</si>
  <si>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</si>
  <si>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</si>
  <si>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</si>
  <si>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</si>
  <si>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</si>
  <si>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</si>
  <si>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</si>
  <si>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</si>
  <si>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</si>
  <si>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</si>
  <si>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</si>
  <si>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</si>
  <si>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</si>
  <si>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</si>
  <si>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</si>
  <si>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</si>
  <si>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</si>
  <si>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</si>
  <si>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</si>
  <si>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</si>
  <si>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</si>
  <si>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</si>
  <si>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</si>
  <si>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</si>
  <si>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</si>
  <si>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</si>
  <si>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</si>
  <si>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</si>
  <si>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</si>
  <si>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</si>
  <si>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</si>
  <si>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</si>
  <si>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</si>
  <si>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</si>
  <si>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</si>
  <si>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</si>
  <si>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</si>
  <si>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</si>
  <si>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</si>
  <si>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</si>
  <si>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</si>
  <si>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</si>
  <si>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</si>
  <si>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</si>
  <si>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</si>
  <si>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</si>
  <si>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</si>
  <si>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</si>
  <si>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</si>
  <si>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</si>
  <si>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</si>
  <si>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</si>
  <si>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</si>
  <si>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</si>
  <si>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</si>
  <si>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</si>
  <si>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</si>
  <si>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</si>
  <si>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</si>
  <si>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</si>
  <si>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</si>
  <si>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</si>
  <si>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</si>
  <si>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</si>
  <si>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</si>
  <si>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</si>
  <si>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</si>
  <si>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</si>
  <si>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</si>
  <si>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</si>
  <si>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</si>
  <si>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</si>
  <si>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</si>
  <si>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</si>
  <si>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</si>
  <si>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</si>
  <si>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</si>
  <si>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</si>
  <si>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</si>
  <si>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</si>
  <si>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</si>
  <si>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</si>
  <si>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</si>
  <si>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</si>
  <si>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</si>
  <si>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</si>
  <si>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</si>
  <si>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</si>
  <si>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</si>
  <si>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</si>
  <si>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</si>
  <si>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</si>
  <si>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</si>
  <si>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</si>
  <si>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</si>
  <si>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</si>
  <si>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</si>
  <si>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</si>
  <si>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</si>
  <si>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</si>
  <si>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</si>
  <si>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</si>
  <si>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</si>
  <si>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</si>
  <si>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</si>
  <si>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</si>
  <si>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</si>
  <si>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</si>
  <si>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</si>
  <si>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</si>
  <si>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</si>
  <si>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</si>
  <si>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</si>
  <si>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</si>
  <si>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</si>
  <si>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</si>
  <si>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</si>
  <si>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</si>
  <si>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</si>
  <si>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</si>
  <si>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</si>
  <si>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</si>
  <si>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</si>
  <si>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</si>
  <si>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</si>
  <si>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</si>
  <si>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</si>
  <si>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</si>
  <si>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</si>
  <si>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</si>
  <si>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</si>
  <si>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</si>
  <si>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</si>
  <si>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</si>
  <si>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</si>
  <si>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</si>
  <si>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</si>
  <si>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</si>
  <si>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</si>
  <si>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</si>
  <si>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</si>
  <si>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</si>
  <si>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</si>
  <si>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</si>
  <si>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</si>
  <si>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</si>
  <si>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</si>
  <si>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</si>
  <si>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</si>
  <si>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</si>
  <si>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</si>
  <si>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</si>
  <si>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</si>
  <si>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</si>
  <si>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</si>
  <si>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</si>
  <si>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</si>
  <si>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</si>
  <si>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</si>
  <si>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</si>
  <si>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</si>
  <si>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</si>
  <si>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</si>
  <si>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</si>
  <si>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</si>
  <si>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</si>
  <si>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</si>
  <si>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</si>
  <si>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</si>
  <si>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</si>
  <si>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</si>
  <si>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</si>
  <si>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</si>
  <si>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</si>
  <si>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</si>
  <si>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</si>
  <si>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</si>
  <si>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</si>
  <si>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</si>
  <si>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</si>
  <si>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</si>
  <si>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</si>
  <si>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</si>
  <si>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</si>
  <si>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</si>
  <si>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</si>
  <si>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</si>
  <si>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</si>
  <si>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</si>
  <si>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</si>
  <si>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</si>
  <si>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</si>
  <si>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</si>
  <si>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</si>
  <si>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</si>
  <si>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</si>
  <si>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</si>
  <si>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</si>
  <si>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</si>
  <si>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</si>
  <si>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</si>
  <si>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</si>
  <si>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</si>
  <si>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</si>
  <si>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</si>
  <si>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</si>
  <si>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</si>
  <si>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</si>
  <si>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</si>
  <si>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</si>
  <si>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</si>
  <si>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</si>
  <si>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</si>
  <si>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</si>
  <si>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</si>
  <si>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</si>
  <si>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</si>
  <si>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</si>
  <si>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</si>
  <si>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</si>
  <si>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</si>
  <si>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</si>
  <si>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</si>
  <si>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</si>
  <si>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</si>
  <si>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</si>
  <si>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</si>
  <si>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</si>
  <si>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</si>
  <si>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</si>
  <si>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</si>
  <si>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</si>
  <si>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</si>
  <si>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</si>
  <si>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</si>
  <si>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</si>
  <si>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</si>
  <si>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</si>
  <si>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</si>
  <si>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</si>
  <si>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</si>
  <si>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</si>
  <si>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</si>
  <si>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</si>
  <si>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</si>
  <si>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</si>
  <si>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</si>
  <si>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</si>
  <si>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</si>
  <si>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</si>
  <si>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</si>
  <si>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</si>
  <si>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</si>
  <si>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</si>
  <si>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</si>
  <si>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</si>
  <si>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</si>
  <si>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</si>
  <si>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</si>
  <si>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</si>
  <si>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</si>
  <si>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</si>
  <si>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</si>
  <si>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</si>
  <si>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</si>
  <si>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</si>
  <si>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</si>
  <si>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</si>
  <si>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</si>
  <si>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</si>
  <si>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</si>
  <si>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</si>
  <si>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</si>
  <si>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</si>
  <si>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</si>
  <si>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</si>
  <si>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</si>
  <si>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</si>
  <si>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</si>
  <si>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</si>
  <si>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</si>
  <si>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</si>
  <si>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</si>
  <si>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</si>
  <si>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</si>
  <si>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</si>
  <si>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</si>
  <si>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</si>
  <si>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</si>
  <si>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</si>
  <si>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</si>
  <si>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</si>
  <si>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</si>
  <si>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</si>
  <si>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</si>
  <si>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</si>
  <si>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</si>
  <si>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</si>
  <si>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</si>
  <si>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</si>
  <si>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</si>
  <si>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</si>
  <si>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</si>
  <si>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</si>
  <si>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</si>
  <si>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</si>
  <si>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</si>
  <si>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</si>
  <si>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</si>
  <si>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</si>
  <si>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</si>
  <si>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</si>
  <si>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</si>
  <si>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</si>
  <si>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</si>
  <si>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</si>
  <si>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</si>
  <si>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</si>
  <si>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</si>
  <si>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</si>
  <si>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</si>
  <si>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</si>
  <si>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</si>
  <si>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</si>
  <si>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</si>
  <si>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</si>
  <si>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</si>
  <si>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</si>
  <si>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</si>
  <si>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</si>
  <si>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</si>
  <si>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</si>
  <si>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</si>
  <si>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</si>
  <si>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</si>
  <si>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</si>
  <si>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</si>
  <si>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</si>
  <si>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</si>
  <si>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</si>
  <si>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</si>
  <si>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</si>
  <si>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</si>
  <si>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</si>
  <si>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</si>
  <si>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</si>
  <si>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</si>
  <si>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</si>
  <si>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</si>
  <si>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</si>
  <si>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</si>
  <si>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</si>
  <si>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</si>
  <si>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</si>
  <si>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</si>
  <si>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</si>
  <si>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</si>
  <si>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</si>
  <si>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</si>
  <si>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</si>
  <si>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</si>
  <si>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</si>
  <si>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</si>
  <si>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</si>
  <si>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</si>
  <si>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</si>
  <si>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</si>
  <si>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</si>
  <si>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</si>
  <si>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</si>
  <si>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</si>
  <si>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</si>
  <si>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</si>
  <si>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</si>
  <si>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</si>
  <si>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</si>
  <si>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</si>
  <si>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</si>
  <si>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</si>
  <si>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</si>
  <si>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</si>
  <si>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</si>
  <si>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</si>
  <si>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</si>
  <si>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</si>
  <si>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</si>
  <si>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</si>
  <si>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</si>
  <si>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</si>
  <si>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</si>
  <si>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</si>
  <si>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</si>
  <si>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</si>
  <si>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</si>
  <si>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</si>
  <si>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</si>
  <si>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</si>
  <si>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</si>
  <si>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</si>
  <si>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</si>
  <si>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</si>
  <si>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</si>
  <si>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</si>
  <si>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</si>
  <si>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</si>
  <si>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</si>
  <si>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</si>
  <si>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</si>
  <si>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</si>
  <si>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</si>
  <si>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</si>
  <si>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</si>
  <si>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</si>
  <si>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</si>
  <si>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</si>
  <si>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</si>
  <si>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</si>
  <si>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</si>
  <si>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</si>
  <si>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</si>
  <si>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</si>
  <si>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</si>
  <si>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</si>
  <si>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</si>
  <si>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</si>
  <si>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</si>
  <si>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</si>
  <si>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</si>
  <si>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</si>
  <si>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</si>
  <si>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</si>
  <si>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</si>
  <si>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</si>
  <si>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</si>
  <si>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</si>
  <si>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</si>
  <si>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</si>
  <si>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</si>
  <si>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</si>
  <si>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</si>
  <si>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</si>
  <si>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</si>
  <si>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</si>
  <si>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</si>
  <si>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</si>
  <si>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</si>
  <si>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</si>
  <si>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</si>
  <si>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</si>
  <si>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</si>
  <si>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</si>
  <si>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</si>
  <si>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</si>
  <si>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</si>
  <si>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</si>
  <si>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</si>
  <si>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</si>
  <si>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</si>
  <si>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</si>
  <si>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</si>
  <si>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</si>
  <si>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</si>
  <si>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</si>
  <si>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</si>
  <si>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</si>
  <si>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</si>
  <si>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</si>
  <si>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</si>
  <si>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</si>
  <si>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</si>
  <si>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</si>
  <si>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</si>
  <si>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</si>
  <si>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</si>
  <si>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</si>
  <si>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</si>
  <si>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</si>
  <si>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</si>
  <si>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</si>
  <si>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</si>
  <si>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</si>
  <si>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</si>
  <si>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</si>
  <si>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</si>
  <si>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</si>
  <si>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</si>
  <si>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</si>
  <si>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</si>
  <si>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</si>
  <si>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</si>
  <si>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</si>
  <si>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</si>
  <si>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</si>
  <si>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</si>
  <si>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</si>
  <si>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</si>
  <si>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</si>
  <si>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</si>
  <si>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</si>
  <si>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</si>
  <si>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</si>
  <si>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</si>
  <si>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</si>
  <si>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</si>
  <si>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</si>
  <si>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</si>
  <si>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</si>
  <si>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</si>
  <si>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</si>
  <si>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</si>
  <si>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</si>
  <si>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</si>
  <si>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</si>
  <si>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</si>
  <si>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</si>
  <si>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</si>
  <si>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</si>
  <si>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</si>
  <si>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</si>
  <si>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</si>
  <si>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</si>
  <si>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</si>
  <si>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</si>
  <si>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</si>
  <si>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</si>
  <si>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</si>
  <si>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</si>
  <si>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</si>
  <si>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</si>
  <si>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</si>
  <si>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</si>
  <si>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</si>
  <si>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</si>
  <si>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</si>
  <si>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</si>
  <si>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</si>
  <si>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</si>
  <si>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</si>
  <si>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</si>
  <si>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</si>
  <si>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</si>
  <si>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</si>
  <si>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</si>
  <si>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</si>
  <si>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</si>
  <si>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</si>
  <si>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</si>
  <si>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</si>
  <si>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</si>
  <si>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</si>
  <si>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</si>
  <si>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</si>
  <si>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</si>
  <si>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</si>
  <si>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</si>
  <si>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</si>
  <si>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</si>
  <si>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</si>
  <si>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</si>
  <si>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</si>
  <si>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</si>
  <si>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</si>
  <si>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</si>
  <si>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</si>
  <si>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</si>
  <si>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</si>
  <si>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</si>
  <si>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</si>
  <si>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</si>
  <si>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</si>
  <si>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</si>
  <si>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</si>
  <si>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</si>
  <si>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</si>
  <si>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</si>
  <si>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</si>
  <si>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</si>
  <si>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</si>
  <si>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</si>
  <si>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</si>
  <si>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</si>
  <si>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</si>
  <si>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</si>
  <si>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</si>
  <si>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</si>
  <si>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</si>
  <si>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</si>
  <si>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</si>
  <si>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</si>
  <si>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</si>
  <si>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</si>
  <si>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</si>
  <si>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</si>
  <si>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</si>
  <si>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</si>
  <si>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</si>
  <si>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</si>
  <si>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</si>
  <si>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</si>
  <si>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</si>
  <si>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</si>
  <si>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</si>
  <si>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</si>
  <si>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</si>
  <si>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</si>
  <si>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</si>
  <si>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</si>
  <si>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</si>
  <si>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</si>
  <si>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</si>
  <si>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</si>
  <si>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</si>
  <si>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</si>
  <si>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</si>
  <si>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</si>
  <si>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</si>
  <si>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</si>
  <si>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</si>
  <si>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</si>
  <si>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</si>
  <si>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</si>
  <si>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</si>
  <si>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</si>
  <si>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</si>
  <si>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</si>
  <si>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</si>
  <si>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</si>
  <si>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</si>
  <si>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</si>
  <si>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</si>
  <si>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</si>
  <si>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</si>
  <si>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</si>
  <si>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</si>
  <si>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</si>
  <si>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</si>
  <si>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</si>
  <si>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</si>
  <si>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</si>
  <si>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</si>
  <si>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</si>
  <si>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</si>
  <si>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</si>
  <si>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</si>
  <si>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</si>
  <si>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</si>
  <si>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</si>
  <si>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</si>
  <si>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</si>
  <si>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</si>
  <si>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</si>
  <si>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</si>
  <si>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</si>
  <si>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</si>
  <si>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</si>
  <si>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</si>
  <si>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</si>
  <si>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</si>
  <si>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</si>
  <si>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</si>
  <si>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</si>
  <si>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</si>
  <si>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</si>
  <si>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</si>
  <si>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</si>
  <si>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</si>
  <si>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</si>
  <si>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</si>
  <si>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</si>
  <si>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</si>
  <si>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</si>
  <si>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</si>
  <si>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</si>
  <si>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</si>
  <si>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</si>
  <si>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</si>
  <si>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</si>
  <si>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</si>
  <si>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</si>
  <si>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</si>
  <si>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</si>
  <si>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</si>
  <si>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</si>
  <si>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</si>
  <si>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</si>
  <si>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</si>
  <si>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</si>
  <si>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</si>
  <si>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</si>
  <si>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</si>
  <si>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</si>
  <si>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</si>
  <si>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</si>
  <si>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</si>
  <si>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</si>
  <si>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</si>
  <si>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</si>
  <si>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</si>
  <si>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</si>
  <si>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</si>
  <si>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</si>
  <si>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</si>
  <si>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</si>
  <si>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</si>
  <si>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</si>
  <si>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</si>
  <si>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</si>
  <si>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</si>
  <si>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</si>
  <si>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</si>
  <si>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</si>
  <si>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</si>
  <si>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</si>
  <si>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</si>
  <si>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</si>
  <si>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</si>
  <si>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</si>
  <si>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</si>
  <si>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</si>
  <si>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</si>
  <si>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</si>
  <si>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</si>
  <si>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</si>
  <si>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</si>
  <si>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</si>
  <si>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</si>
  <si>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</si>
  <si>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</si>
  <si>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</si>
  <si>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</si>
  <si>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</si>
  <si>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</si>
  <si>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</si>
  <si>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</si>
  <si>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</si>
  <si>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</si>
  <si>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</si>
  <si>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</si>
  <si>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</si>
  <si>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</si>
  <si>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</si>
  <si>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</si>
  <si>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</si>
  <si>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</si>
  <si>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</si>
  <si>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</si>
  <si>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</si>
  <si>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</si>
  <si>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</si>
  <si>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</si>
  <si>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</si>
  <si>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</si>
  <si>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</si>
  <si>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</si>
  <si>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</si>
  <si>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</si>
  <si>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</si>
  <si>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</si>
  <si>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</si>
  <si>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</si>
  <si>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</si>
  <si>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</si>
  <si>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</si>
  <si>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</si>
  <si>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</si>
  <si>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</si>
  <si>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</si>
  <si>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</si>
  <si>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</si>
  <si>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</si>
  <si>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</si>
  <si>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</si>
  <si>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</si>
  <si>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</si>
  <si>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</si>
  <si>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</si>
  <si>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</si>
  <si>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</si>
  <si>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</si>
  <si>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</si>
  <si>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</si>
  <si>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</si>
  <si>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</si>
  <si>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</si>
  <si>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</si>
  <si>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</si>
  <si>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</si>
  <si>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</si>
  <si>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</si>
  <si>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</si>
  <si>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</si>
  <si>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</si>
  <si>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</si>
  <si>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</si>
  <si>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</si>
  <si>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</si>
  <si>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</si>
  <si>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</si>
  <si>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</si>
  <si>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</si>
  <si>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</si>
  <si>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</si>
  <si>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</si>
  <si>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</si>
  <si>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</si>
  <si>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</si>
  <si>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</si>
  <si>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</si>
  <si>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</si>
  <si>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</si>
  <si>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</si>
  <si>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</si>
  <si>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</si>
  <si>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</si>
  <si>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</si>
  <si>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</si>
  <si>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</si>
  <si>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</si>
  <si>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</si>
  <si>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</si>
  <si>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</si>
  <si>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</si>
  <si>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</si>
  <si>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</si>
  <si>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</si>
  <si>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</si>
  <si>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</si>
  <si>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</si>
  <si>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</si>
  <si>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</si>
  <si>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</si>
  <si>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</si>
  <si>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</si>
  <si>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</si>
  <si>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</si>
  <si>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</si>
  <si>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</si>
  <si>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</si>
  <si>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</si>
  <si>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</si>
  <si>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</si>
  <si>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</si>
  <si>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</si>
  <si>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</si>
  <si>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</si>
  <si>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</si>
  <si>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</si>
  <si>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</si>
  <si>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</si>
  <si>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</si>
  <si>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</si>
  <si>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</si>
  <si>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</si>
  <si>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</si>
  <si>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</si>
  <si>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</si>
  <si>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</si>
  <si>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</si>
  <si>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</si>
  <si>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</si>
  <si>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</si>
  <si>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</si>
  <si>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</si>
  <si>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</si>
  <si>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</si>
  <si>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</si>
  <si>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</si>
  <si>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</si>
  <si>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</si>
  <si>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</si>
  <si>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</si>
  <si>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</si>
  <si>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</si>
  <si>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</si>
  <si>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</si>
  <si>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</si>
  <si>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</si>
  <si>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</si>
  <si>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</si>
  <si>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</si>
  <si>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</si>
  <si>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</si>
  <si>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</si>
  <si>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</si>
  <si>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</si>
  <si>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</si>
  <si>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</si>
  <si>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</si>
  <si>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</si>
  <si>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</si>
  <si>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</si>
  <si>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</si>
  <si>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</si>
  <si>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</si>
  <si>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</si>
  <si>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</si>
  <si>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</si>
  <si>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</si>
  <si>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</si>
  <si>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</si>
  <si>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</si>
  <si>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</si>
  <si>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</si>
  <si>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</si>
  <si>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</si>
  <si>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</si>
  <si>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</si>
  <si>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</si>
  <si>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</si>
  <si>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</si>
  <si>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</si>
  <si>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</si>
  <si>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</si>
  <si>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</si>
  <si>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</si>
  <si>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</si>
  <si>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</si>
  <si>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</si>
  <si>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</si>
  <si>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</si>
  <si>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</si>
  <si>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</si>
  <si>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</si>
  <si>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</si>
  <si>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</si>
  <si>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</si>
  <si>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</si>
  <si>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</si>
  <si>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</si>
  <si>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</si>
  <si>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</si>
  <si>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</si>
  <si>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</si>
  <si>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</si>
  <si>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</si>
  <si>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</si>
  <si>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</si>
  <si>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</si>
  <si>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</si>
  <si>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</si>
  <si>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</si>
  <si>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</si>
  <si>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</si>
  <si>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</si>
  <si>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</si>
  <si>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</si>
  <si>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</si>
  <si>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</si>
  <si>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</si>
  <si>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</si>
  <si>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</si>
  <si>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</si>
  <si>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</si>
  <si>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</si>
  <si>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</si>
  <si>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</si>
  <si>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</si>
  <si>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</si>
  <si>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</si>
  <si>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</si>
  <si>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</si>
  <si>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</si>
  <si>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</si>
  <si>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</si>
  <si>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</si>
  <si>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</si>
  <si>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</si>
  <si>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</si>
  <si>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</si>
  <si>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</si>
  <si>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</si>
  <si>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</si>
  <si>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</si>
  <si>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</si>
  <si>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</si>
  <si>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</si>
  <si>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</si>
  <si>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</si>
  <si>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</si>
  <si>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</si>
  <si>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</si>
  <si>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</si>
  <si>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</si>
  <si>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</si>
  <si>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</si>
  <si>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</si>
  <si>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</si>
  <si>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</si>
  <si>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</si>
  <si>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</si>
  <si>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</si>
  <si>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</si>
  <si>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</si>
  <si>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</si>
  <si>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</si>
  <si>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</si>
  <si>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</si>
  <si>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</si>
  <si>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</si>
  <si>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</si>
  <si>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</si>
  <si>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</si>
  <si>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</si>
  <si>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</si>
  <si>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</si>
  <si>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</si>
  <si>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</si>
  <si>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</si>
  <si>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</si>
  <si>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</si>
  <si>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</si>
  <si>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</si>
  <si>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</si>
  <si>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</si>
  <si>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</si>
  <si>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</si>
  <si>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</si>
  <si>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</si>
  <si>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</si>
  <si>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</si>
  <si>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</si>
  <si>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</si>
  <si>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</si>
  <si>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</si>
  <si>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</si>
  <si>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</si>
  <si>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</si>
  <si>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</si>
  <si>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</si>
  <si>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</si>
  <si>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</si>
  <si>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</si>
  <si>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</si>
  <si>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</si>
  <si>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</si>
  <si>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</si>
  <si>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</si>
  <si>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</si>
  <si>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</si>
  <si>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</si>
  <si>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</si>
  <si>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</si>
  <si>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</si>
  <si>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</si>
  <si>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</si>
  <si>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</si>
  <si>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</si>
  <si>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</si>
  <si>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</si>
  <si>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</si>
  <si>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</si>
  <si>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</si>
  <si>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</si>
  <si>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</si>
  <si>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</si>
  <si>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</si>
  <si>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</si>
  <si>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</si>
  <si>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</si>
  <si>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</si>
  <si>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</si>
  <si>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</si>
  <si>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</si>
  <si>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</si>
  <si>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</si>
  <si>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</si>
  <si>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</si>
  <si>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</si>
  <si>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</si>
  <si>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</si>
  <si>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</si>
  <si>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</si>
  <si>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</si>
  <si>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</si>
  <si>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</si>
  <si>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</si>
  <si>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</si>
  <si>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</si>
  <si>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</si>
  <si>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</si>
  <si>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</si>
  <si>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</si>
  <si>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</si>
  <si>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</si>
  <si>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</si>
  <si>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</si>
  <si>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</si>
  <si>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</si>
  <si>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</si>
  <si>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</si>
  <si>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</si>
  <si>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</si>
  <si>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</si>
  <si>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</si>
  <si>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</si>
  <si>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</si>
  <si>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</si>
  <si>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</si>
  <si>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</si>
  <si>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</si>
  <si>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</si>
  <si>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</si>
  <si>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</si>
  <si>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</si>
  <si>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</si>
  <si>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</si>
  <si>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</si>
  <si>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</si>
  <si>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</si>
  <si>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</si>
  <si>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</si>
  <si>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</si>
  <si>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</si>
  <si>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</si>
  <si>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</si>
  <si>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</si>
  <si>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</si>
  <si>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</si>
  <si>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</si>
  <si>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</si>
  <si>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</si>
  <si>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</si>
  <si>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</si>
  <si>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</si>
  <si>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</si>
  <si>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</si>
  <si>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</si>
  <si>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</si>
  <si>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</si>
  <si>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</si>
  <si>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</si>
  <si>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</si>
  <si>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</si>
  <si>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</si>
  <si>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</si>
  <si>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</si>
  <si>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</si>
  <si>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</si>
  <si>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</si>
  <si>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</si>
  <si>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</si>
  <si>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</si>
  <si>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</si>
  <si>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</si>
  <si>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</si>
  <si>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</si>
  <si>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</si>
  <si>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</si>
  <si>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</si>
  <si>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</si>
  <si>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</si>
  <si>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</si>
  <si>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</si>
  <si>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</si>
  <si>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</si>
  <si>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</si>
  <si>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</si>
  <si>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</si>
  <si>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</si>
  <si>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</si>
  <si>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</si>
  <si>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</si>
  <si>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</si>
  <si>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</si>
  <si>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</si>
  <si>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</si>
  <si>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</si>
  <si>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</si>
  <si>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</si>
  <si>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</si>
  <si>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</si>
  <si>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</si>
  <si>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</si>
  <si>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</si>
  <si>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</si>
  <si>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</si>
  <si>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</si>
  <si>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</si>
  <si>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</si>
  <si>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</si>
  <si>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</si>
  <si>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</si>
  <si>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</si>
  <si>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</si>
  <si>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</si>
  <si>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</si>
  <si>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</si>
  <si>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</si>
  <si>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</si>
  <si>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</si>
  <si>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</si>
  <si>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</si>
  <si>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</si>
  <si>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</si>
  <si>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</si>
  <si>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</si>
  <si>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</si>
  <si>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</si>
  <si>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</si>
  <si>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</si>
  <si>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</si>
  <si>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</si>
  <si>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</si>
  <si>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</si>
  <si>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</si>
  <si>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</si>
  <si>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</si>
  <si>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</si>
  <si>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</si>
  <si>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</si>
  <si>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</si>
  <si>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</si>
  <si>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</si>
  <si>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</si>
  <si>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</si>
  <si>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</si>
  <si>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</si>
  <si>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</si>
  <si>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</si>
  <si>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</si>
  <si>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</si>
  <si>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</si>
  <si>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</si>
  <si>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</si>
  <si>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</si>
  <si>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</si>
  <si>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</si>
  <si>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</si>
  <si>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</si>
  <si>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</si>
  <si>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</si>
  <si>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</si>
  <si>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</si>
  <si>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</si>
  <si>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</si>
  <si>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</si>
  <si>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</si>
  <si>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</si>
  <si>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</si>
  <si>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</si>
  <si>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</si>
  <si>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</si>
  <si>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</si>
  <si>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</si>
  <si>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</si>
  <si>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</si>
  <si>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</si>
  <si>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</si>
  <si>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</si>
  <si>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</si>
  <si>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</si>
  <si>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</si>
  <si>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</si>
  <si>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</si>
  <si>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</si>
  <si>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</si>
  <si>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</si>
  <si>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</si>
  <si>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</si>
  <si>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</si>
  <si>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</si>
  <si>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</si>
  <si>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</si>
  <si>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</si>
  <si>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</si>
  <si>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</si>
  <si>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</si>
  <si>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</si>
  <si>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</si>
  <si>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</si>
  <si>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</si>
  <si>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</si>
  <si>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</si>
  <si>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</si>
  <si>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</si>
  <si>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</si>
  <si>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</si>
  <si>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</si>
  <si>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</si>
  <si>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</si>
  <si>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</si>
  <si>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</si>
  <si>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</si>
  <si>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</si>
  <si>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</si>
  <si>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</si>
  <si>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</si>
  <si>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</si>
  <si>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</si>
  <si>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</si>
  <si>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</si>
  <si>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</si>
  <si>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</si>
  <si>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</si>
  <si>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</si>
  <si>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</si>
  <si>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</si>
  <si>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</si>
  <si>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</si>
  <si>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</si>
  <si>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</si>
  <si>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</si>
  <si>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</si>
  <si>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</si>
  <si>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</si>
  <si>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</si>
  <si>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</si>
  <si>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</si>
  <si>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</si>
  <si>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</si>
  <si>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</si>
  <si>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</si>
  <si>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</si>
  <si>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</si>
  <si>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</si>
  <si>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</si>
  <si>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</si>
  <si>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</si>
  <si>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</si>
  <si>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</si>
  <si>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</si>
  <si>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</si>
  <si>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</si>
  <si>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</si>
  <si>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</si>
  <si>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</si>
  <si>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</si>
  <si>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</si>
  <si>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</si>
  <si>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</si>
  <si>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</si>
  <si>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</si>
  <si>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</si>
  <si>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</si>
  <si>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</si>
  <si>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</si>
  <si>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</si>
  <si>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</si>
  <si>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</si>
  <si>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</si>
  <si>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</si>
  <si>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</si>
  <si>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</si>
  <si>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</si>
  <si>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</si>
  <si>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</si>
  <si>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</si>
  <si>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</si>
  <si>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</si>
  <si>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</si>
  <si>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</si>
  <si>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</si>
  <si>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</si>
  <si>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</si>
  <si>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</si>
  <si>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</si>
  <si>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</si>
  <si>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</si>
  <si>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</si>
  <si>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</si>
  <si>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</si>
  <si>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</si>
  <si>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</si>
  <si>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</si>
  <si>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</si>
  <si>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</si>
  <si>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</si>
  <si>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</si>
  <si>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</si>
  <si>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</si>
  <si>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</si>
  <si>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</si>
  <si>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</si>
  <si>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</si>
  <si>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</si>
  <si>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</si>
  <si>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</si>
  <si>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</si>
  <si>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</si>
  <si>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</si>
  <si>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</si>
  <si>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</si>
  <si>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</si>
  <si>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</si>
  <si>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</si>
  <si>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</si>
  <si>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</si>
  <si>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</si>
  <si>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</si>
  <si>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</si>
  <si>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</si>
  <si>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</si>
  <si>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</si>
  <si>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</si>
  <si>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</si>
  <si>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</si>
  <si>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</si>
  <si>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</si>
  <si>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</si>
  <si>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</si>
  <si>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</si>
  <si>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</si>
  <si>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</si>
  <si>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</si>
  <si>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</si>
  <si>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</si>
  <si>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</si>
  <si>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</si>
  <si>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</si>
  <si>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</si>
  <si>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</si>
  <si>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</si>
  <si>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</si>
  <si>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</si>
  <si>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</si>
  <si>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</si>
  <si>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</si>
  <si>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</si>
  <si>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</si>
  <si>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</si>
  <si>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</si>
  <si>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</si>
  <si>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</si>
  <si>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</si>
  <si>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</si>
  <si>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</si>
  <si>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</si>
  <si>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</si>
  <si>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</si>
  <si>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</si>
  <si>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</si>
  <si>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</si>
  <si>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</si>
  <si>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</si>
  <si>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</si>
  <si>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</si>
  <si>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</si>
  <si>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</si>
  <si>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</si>
  <si>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</si>
  <si>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</si>
  <si>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</si>
  <si>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</si>
  <si>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</si>
  <si>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</si>
  <si>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</si>
  <si>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</si>
  <si>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</si>
  <si>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</si>
  <si>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</si>
  <si>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</si>
  <si>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</si>
  <si>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</si>
  <si>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</si>
  <si>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</si>
  <si>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</si>
  <si>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</si>
  <si>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</si>
  <si>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</si>
  <si>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</si>
  <si>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</si>
  <si>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</si>
  <si>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</si>
  <si>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</si>
  <si>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</si>
  <si>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</si>
  <si>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</si>
  <si>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</si>
  <si>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</si>
  <si>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</si>
  <si>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</si>
  <si>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</si>
  <si>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</si>
  <si>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</si>
  <si>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</si>
  <si>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</si>
  <si>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</si>
  <si>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</si>
  <si>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</si>
  <si>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</si>
  <si>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</si>
  <si>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</si>
  <si>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</si>
  <si>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</si>
  <si>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</si>
  <si>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</si>
  <si>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</si>
  <si>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</si>
  <si>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</si>
  <si>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</si>
  <si>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</si>
  <si>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</si>
  <si>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</si>
  <si>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</si>
  <si>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</si>
  <si>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</si>
  <si>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</si>
  <si>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</si>
  <si>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</si>
  <si>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</si>
  <si>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</si>
  <si>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</si>
  <si>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</si>
  <si>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</si>
  <si>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</si>
  <si>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</si>
  <si>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</si>
  <si>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</si>
  <si>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</si>
  <si>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</si>
  <si>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</si>
  <si>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</si>
  <si>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</si>
  <si>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</si>
  <si>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</si>
  <si>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</si>
  <si>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</si>
  <si>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</si>
  <si>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</si>
  <si>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</si>
  <si>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</si>
  <si>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</si>
  <si>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</si>
  <si>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</si>
  <si>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</si>
  <si>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</si>
  <si>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</si>
  <si>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</si>
  <si>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</si>
  <si>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</si>
  <si>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</si>
  <si>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</si>
  <si>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</si>
  <si>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</si>
  <si>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</si>
  <si>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</si>
  <si>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</si>
  <si>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</si>
  <si>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</si>
  <si>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</si>
  <si>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</si>
  <si>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</si>
  <si>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</si>
  <si>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</si>
  <si>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</si>
  <si>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</si>
  <si>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</si>
  <si>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</si>
  <si>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</si>
  <si>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</si>
  <si>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</si>
  <si>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</si>
  <si>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</si>
  <si>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</si>
  <si>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</si>
  <si>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</si>
  <si>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</si>
  <si>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</si>
  <si>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</si>
  <si>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</si>
  <si>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</si>
  <si>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</si>
  <si>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</si>
  <si>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</si>
  <si>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</si>
  <si>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</si>
  <si>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</si>
  <si>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</si>
  <si>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</si>
  <si>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</si>
  <si>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</si>
  <si>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</si>
  <si>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</si>
  <si>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</si>
  <si>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</si>
  <si>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</si>
  <si>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</si>
  <si>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</si>
  <si>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</si>
  <si>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</si>
  <si>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</si>
  <si>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</si>
  <si>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</si>
  <si>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</si>
  <si>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</si>
  <si>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</si>
  <si>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</si>
  <si>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</si>
  <si>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</si>
  <si>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</si>
  <si>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</si>
  <si>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</si>
  <si>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</si>
  <si>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</si>
  <si>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</si>
  <si>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</si>
  <si>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</si>
  <si>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</si>
  <si>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</si>
  <si>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</si>
  <si>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</si>
  <si>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</si>
  <si>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</si>
  <si>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</si>
  <si>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</si>
  <si>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</si>
  <si>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</si>
  <si>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</si>
  <si>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</si>
  <si>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</si>
  <si>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</si>
  <si>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</si>
  <si>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</si>
  <si>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</si>
  <si>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</si>
  <si>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</si>
  <si>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</si>
  <si>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</si>
  <si>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</si>
  <si>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</si>
  <si>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</si>
  <si>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</si>
  <si>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</si>
  <si>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</si>
  <si>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</si>
  <si>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</si>
  <si>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</si>
  <si>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</si>
  <si>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</si>
  <si>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</si>
  <si>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</si>
  <si>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</si>
  <si>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</si>
  <si>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</si>
  <si>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</si>
  <si>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</si>
  <si>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</si>
  <si>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</si>
  <si>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</si>
  <si>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</si>
  <si>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</si>
  <si>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</si>
  <si>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</si>
  <si>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</si>
  <si>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</si>
  <si>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</si>
  <si>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</si>
  <si>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</si>
  <si>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</si>
  <si>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</si>
  <si>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</si>
  <si>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</si>
  <si>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</si>
  <si>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</si>
  <si>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</si>
  <si>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</si>
  <si>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</si>
  <si>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</si>
  <si>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</si>
  <si>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</si>
  <si>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</si>
  <si>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</si>
  <si>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</si>
  <si>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</si>
  <si>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</si>
  <si>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</si>
  <si>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</si>
  <si>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</si>
  <si>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</si>
  <si>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</si>
  <si>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</si>
  <si>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</si>
  <si>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</si>
  <si>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</si>
  <si>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</si>
  <si>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</si>
  <si>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</si>
  <si>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</si>
  <si>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</si>
  <si>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</si>
  <si>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</si>
  <si>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</si>
  <si>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</si>
  <si>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</si>
  <si>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</si>
  <si>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</si>
  <si>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</si>
  <si>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</si>
  <si>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</si>
  <si>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</si>
  <si>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</si>
  <si>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</si>
  <si>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</si>
  <si>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</si>
  <si>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</si>
  <si>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</si>
  <si>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</si>
  <si>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</si>
  <si>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</si>
  <si>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</si>
  <si>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</si>
  <si>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</si>
  <si>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</si>
  <si>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</si>
  <si>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</si>
  <si>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</si>
  <si>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</si>
  <si>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</si>
  <si>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</si>
  <si>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</si>
  <si>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</si>
  <si>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</si>
  <si>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</si>
  <si>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</si>
  <si>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</si>
  <si>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</si>
  <si>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</si>
  <si>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</si>
  <si>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</si>
  <si>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</si>
  <si>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</si>
  <si>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</si>
  <si>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</si>
  <si>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</si>
  <si>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</si>
  <si>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</si>
  <si>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</si>
  <si>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</si>
  <si>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</si>
  <si>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</si>
  <si>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</si>
  <si>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</si>
  <si>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</si>
  <si>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</si>
  <si>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</si>
  <si>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</si>
  <si>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</si>
  <si>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</si>
  <si>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</si>
  <si>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</si>
  <si>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</si>
  <si>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</si>
  <si>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</si>
  <si>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</si>
  <si>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</si>
  <si>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</si>
  <si>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</si>
  <si>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</si>
  <si>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</si>
  <si>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</si>
  <si>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</si>
  <si>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</si>
  <si>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</si>
  <si>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</si>
  <si>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</si>
  <si>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</si>
  <si>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</si>
  <si>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</si>
  <si>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</si>
  <si>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</si>
  <si>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</si>
  <si>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</si>
  <si>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</si>
  <si>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</si>
  <si>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</si>
  <si>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</si>
  <si>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</si>
  <si>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</si>
  <si>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</si>
  <si>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</si>
  <si>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</si>
  <si>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</si>
  <si>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</si>
  <si>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</si>
  <si>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</si>
  <si>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</si>
  <si>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</si>
  <si>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</si>
  <si>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</si>
  <si>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</si>
  <si>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</si>
  <si>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</si>
  <si>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</si>
  <si>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</si>
  <si>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</si>
  <si>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</si>
  <si>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</si>
  <si>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</si>
  <si>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</si>
  <si>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</si>
  <si>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</si>
  <si>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</si>
  <si>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</si>
  <si>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</si>
  <si>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</si>
  <si>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</si>
  <si>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</si>
  <si>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</si>
  <si>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</si>
  <si>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</si>
  <si>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</si>
  <si>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</si>
  <si>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</si>
  <si>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</si>
  <si>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</si>
  <si>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</si>
  <si>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</si>
  <si>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</si>
  <si>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</si>
  <si>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</si>
  <si>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</si>
  <si>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</si>
  <si>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</si>
  <si>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</si>
  <si>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</si>
  <si>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</si>
  <si>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</si>
  <si>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</si>
  <si>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</si>
  <si>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</si>
  <si>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</si>
  <si>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</si>
  <si>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</si>
  <si>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</si>
  <si>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</si>
  <si>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</si>
  <si>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</si>
  <si>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</si>
  <si>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</si>
  <si>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</si>
  <si>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</si>
  <si>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</si>
  <si>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</si>
  <si>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</si>
  <si>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</si>
  <si>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</si>
  <si>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</si>
  <si>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</si>
  <si>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</si>
  <si>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</si>
  <si>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</si>
  <si>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</si>
  <si>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</si>
  <si>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</si>
  <si>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</si>
  <si>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</si>
  <si>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</si>
  <si>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</si>
  <si>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</si>
  <si>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</si>
  <si>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</si>
  <si>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</si>
  <si>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</si>
  <si>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</si>
  <si>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</si>
  <si>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</si>
  <si>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</si>
  <si>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</si>
  <si>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</si>
  <si>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</si>
  <si>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</si>
  <si>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</si>
  <si>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</si>
  <si>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</si>
  <si>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</si>
  <si>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</si>
  <si>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</si>
  <si>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</si>
  <si>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</si>
  <si>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</si>
  <si>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</si>
  <si>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</si>
  <si>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</si>
  <si>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</si>
  <si>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</si>
  <si>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</si>
  <si>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</si>
  <si>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</si>
  <si>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</si>
  <si>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</si>
  <si>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</si>
  <si>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</si>
  <si>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</si>
  <si>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</si>
  <si>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</si>
  <si>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</si>
  <si>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</si>
  <si>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</si>
  <si>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</si>
  <si>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</si>
  <si>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</si>
  <si>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</si>
  <si>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</si>
  <si>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</si>
  <si>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</si>
  <si>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</si>
  <si>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</si>
  <si>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</si>
  <si>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</si>
  <si>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</si>
  <si>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</si>
  <si>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</si>
  <si>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</si>
  <si>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</si>
  <si>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</si>
  <si>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</si>
  <si>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</si>
  <si>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</si>
  <si>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</si>
  <si>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</si>
  <si>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</si>
  <si>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</si>
  <si>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</si>
  <si>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</si>
  <si>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</si>
  <si>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</si>
  <si>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</si>
  <si>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</si>
  <si>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</si>
  <si>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</si>
  <si>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</si>
  <si>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</si>
  <si>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</si>
  <si>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</si>
  <si>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</si>
  <si>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</si>
  <si>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</si>
  <si>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</si>
  <si>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</si>
  <si>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</si>
  <si>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</si>
  <si>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</si>
  <si>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</si>
  <si>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</si>
  <si>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</si>
  <si>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</si>
  <si>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</si>
  <si>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</si>
  <si>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</si>
  <si>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</si>
  <si>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</si>
  <si>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</si>
  <si>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</si>
  <si>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</si>
  <si>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</si>
  <si>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</si>
  <si>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</si>
  <si>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</si>
  <si>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</si>
  <si>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</si>
  <si>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</si>
  <si>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</si>
  <si>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</si>
  <si>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</si>
  <si>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</si>
  <si>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</si>
  <si>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</si>
  <si>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</si>
  <si>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</si>
  <si>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</si>
  <si>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</si>
  <si>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</si>
  <si>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</si>
  <si>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</si>
  <si>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</si>
  <si>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</si>
  <si>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</si>
  <si>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</si>
  <si>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</si>
  <si>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</si>
  <si>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</si>
  <si>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</si>
  <si>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</si>
  <si>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</si>
  <si>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</si>
  <si>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</si>
  <si>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</si>
  <si>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</si>
  <si>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</si>
  <si>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</si>
  <si>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</si>
  <si>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</si>
  <si>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</si>
  <si>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</si>
  <si>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</si>
  <si>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</si>
  <si>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</si>
  <si>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</si>
  <si>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</si>
  <si>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</si>
  <si>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</si>
  <si>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</si>
  <si>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</si>
  <si>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</si>
  <si>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</si>
  <si>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</si>
  <si>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</si>
  <si>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</si>
  <si>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</si>
  <si>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</si>
  <si>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</si>
  <si>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</si>
  <si>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</si>
  <si>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</si>
  <si>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</si>
  <si>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</si>
  <si>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</si>
  <si>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</si>
  <si>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</si>
  <si>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</si>
  <si>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</si>
  <si>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</si>
  <si>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</si>
  <si>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</si>
  <si>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</si>
  <si>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</si>
  <si>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</si>
  <si>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</si>
  <si>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</si>
  <si>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</si>
  <si>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</si>
  <si>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</si>
  <si>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</si>
  <si>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</si>
  <si>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</si>
  <si>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</si>
  <si>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</si>
  <si>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</si>
  <si>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</si>
  <si>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</si>
  <si>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</si>
  <si>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</si>
  <si>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</si>
  <si>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</si>
  <si>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</si>
  <si>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</si>
  <si>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</si>
  <si>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</si>
  <si>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</si>
  <si>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</si>
  <si>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</si>
  <si>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</si>
  <si>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</si>
  <si>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</si>
  <si>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</si>
  <si>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</si>
  <si>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</si>
  <si>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</si>
  <si>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</si>
  <si>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</si>
  <si>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</si>
  <si>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</si>
  <si>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</si>
  <si>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</si>
  <si>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</si>
  <si>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</si>
  <si>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</si>
  <si>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</si>
  <si>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</si>
  <si>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</si>
  <si>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</si>
  <si>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</si>
  <si>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</si>
  <si>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</si>
  <si>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</si>
  <si>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</si>
  <si>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</si>
  <si>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</si>
  <si>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</si>
  <si>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</si>
  <si>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</si>
  <si>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</si>
  <si>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</si>
  <si>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</si>
  <si>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</si>
  <si>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</si>
  <si>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</si>
  <si>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</si>
  <si>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</si>
  <si>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</si>
  <si>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</si>
  <si>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</si>
  <si>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</si>
  <si>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</si>
  <si>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</si>
  <si>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</si>
  <si>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</si>
  <si>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</si>
  <si>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</si>
  <si>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</si>
  <si>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</si>
  <si>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</si>
  <si>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</si>
  <si>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</si>
  <si>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</si>
  <si>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</si>
  <si>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</si>
  <si>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</si>
  <si>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</si>
  <si>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</si>
  <si>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</si>
  <si>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</si>
  <si>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</si>
  <si>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</si>
  <si>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</si>
  <si>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</si>
  <si>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</si>
  <si>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</si>
  <si>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</si>
  <si>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</si>
  <si>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</si>
  <si>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</si>
  <si>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</si>
  <si>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</si>
  <si>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</si>
  <si>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</si>
  <si>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</si>
  <si>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</si>
  <si>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</si>
  <si>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</si>
  <si>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</si>
  <si>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</si>
  <si>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</si>
  <si>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</si>
  <si>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</si>
  <si>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</si>
  <si>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</si>
  <si>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</si>
  <si>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</si>
  <si>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</si>
  <si>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</si>
  <si>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</si>
  <si>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</si>
  <si>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</si>
  <si>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</si>
  <si>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</si>
  <si>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</si>
  <si>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</si>
  <si>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</si>
  <si>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</si>
  <si>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</si>
  <si>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</si>
  <si>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</si>
  <si>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</si>
  <si>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</si>
  <si>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</si>
  <si>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</si>
  <si>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</si>
  <si>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</si>
  <si>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</si>
  <si>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</si>
  <si>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</si>
  <si>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</si>
  <si>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</si>
  <si>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</si>
  <si>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</si>
  <si>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</si>
  <si>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</si>
  <si>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</si>
  <si>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</si>
  <si>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</si>
  <si>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</si>
  <si>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</si>
  <si>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</si>
  <si>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</si>
  <si>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</si>
  <si>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</si>
  <si>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</si>
  <si>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</si>
  <si>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</si>
  <si>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</si>
  <si>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</si>
  <si>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</si>
  <si>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</si>
  <si>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</si>
  <si>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</si>
  <si>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</si>
  <si>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</si>
  <si>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</si>
  <si>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</si>
  <si>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</si>
  <si>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</si>
  <si>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</si>
  <si>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</si>
  <si>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</si>
  <si>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</si>
  <si>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</si>
  <si>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</si>
  <si>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</si>
  <si>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</si>
  <si>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</si>
  <si>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</si>
  <si>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</si>
  <si>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</si>
  <si>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</si>
  <si>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</si>
  <si>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</si>
  <si>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</si>
  <si>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</si>
  <si>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</si>
  <si>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</si>
  <si>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</si>
  <si>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</si>
  <si>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</si>
  <si>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</si>
  <si>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</si>
  <si>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</si>
  <si>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</si>
  <si>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</si>
  <si>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</si>
  <si>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</si>
  <si>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</si>
  <si>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</si>
  <si>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</si>
  <si>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</si>
  <si>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</si>
  <si>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</si>
  <si>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</si>
  <si>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</si>
  <si>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</si>
  <si>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</si>
  <si>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</si>
  <si>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</si>
  <si>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</si>
  <si>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</si>
  <si>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</si>
  <si>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</si>
  <si>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</si>
  <si>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</si>
  <si>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</si>
  <si>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</si>
  <si>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</si>
  <si>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</si>
  <si>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</si>
  <si>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</si>
  <si>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</si>
  <si>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</si>
  <si>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</si>
  <si>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</si>
  <si>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</si>
  <si>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</si>
  <si>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</si>
  <si>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</si>
  <si>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</si>
  <si>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</si>
  <si>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</si>
  <si>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</si>
  <si>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</si>
  <si>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</si>
  <si>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</si>
  <si>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</si>
  <si>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</si>
  <si>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</si>
  <si>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</si>
  <si>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</si>
  <si>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</si>
  <si>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</si>
  <si>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</si>
  <si>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</si>
  <si>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</si>
  <si>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</si>
  <si>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</si>
  <si>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</si>
  <si>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</si>
  <si>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</si>
  <si>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</si>
  <si>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</si>
  <si>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</si>
  <si>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</si>
  <si>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</si>
  <si>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</si>
  <si>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</si>
  <si>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</si>
  <si>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</si>
  <si>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</si>
  <si>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</si>
  <si>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</si>
  <si>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</si>
  <si>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</si>
  <si>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</si>
  <si>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</si>
  <si>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</si>
  <si>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</si>
  <si>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</si>
  <si>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</si>
  <si>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</si>
  <si>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</si>
  <si>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</si>
  <si>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</si>
  <si>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</si>
  <si>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</si>
  <si>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</si>
  <si>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</si>
  <si>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</si>
  <si>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</si>
  <si>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</si>
  <si>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</si>
  <si>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</si>
  <si>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</si>
  <si>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</si>
  <si>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</si>
  <si>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</si>
  <si>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</si>
  <si>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</si>
  <si>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</si>
  <si>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</si>
  <si>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</si>
  <si>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</si>
  <si>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</si>
  <si>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</si>
  <si>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</si>
  <si>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</si>
  <si>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</si>
  <si>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</si>
  <si>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</si>
  <si>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</si>
  <si>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</si>
  <si>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</si>
  <si>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</si>
  <si>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</si>
  <si>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</si>
  <si>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</si>
  <si>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</si>
  <si>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</si>
  <si>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</si>
  <si>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</si>
  <si>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</si>
  <si>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</si>
  <si>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</si>
  <si>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</si>
  <si>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</si>
  <si>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</si>
  <si>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</si>
  <si>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</si>
  <si>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</si>
  <si>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</si>
  <si>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</si>
  <si>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</si>
  <si>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</si>
  <si>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</si>
  <si>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</si>
  <si>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</si>
  <si>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</si>
  <si>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</si>
  <si>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</si>
  <si>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</si>
  <si>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</si>
  <si>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</si>
  <si>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</si>
  <si>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</si>
  <si>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</si>
  <si>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</si>
  <si>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</si>
  <si>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</si>
  <si>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</si>
  <si>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</si>
  <si>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</si>
  <si>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</si>
  <si>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</si>
  <si>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</si>
  <si>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</si>
  <si>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</si>
  <si>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</si>
  <si>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</si>
  <si>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</si>
  <si>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</si>
  <si>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</si>
  <si>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</si>
  <si>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</si>
  <si>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</si>
  <si>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</si>
  <si>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</si>
  <si>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</si>
  <si>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</si>
  <si>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</si>
  <si>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</si>
  <si>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</si>
  <si>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</si>
  <si>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</si>
  <si>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</si>
  <si>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</si>
  <si>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</si>
  <si>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</si>
  <si>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</si>
  <si>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</si>
  <si>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</si>
  <si>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</si>
  <si>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</si>
  <si>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</si>
  <si>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</si>
  <si>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</si>
  <si>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</si>
  <si>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</si>
  <si>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</si>
  <si>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</si>
  <si>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</si>
  <si>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</si>
  <si>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</si>
  <si>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</si>
  <si>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</si>
  <si>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</si>
  <si>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</si>
  <si>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</si>
  <si>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</si>
  <si>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</si>
  <si>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</si>
  <si>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</si>
  <si>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</si>
  <si>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</si>
  <si>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</si>
  <si>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</si>
  <si>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</si>
  <si>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</si>
  <si>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</si>
  <si>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</si>
  <si>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</si>
  <si>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</si>
  <si>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</si>
  <si>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</si>
  <si>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</si>
  <si>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</si>
  <si>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</si>
  <si>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</si>
  <si>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</si>
  <si>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</si>
  <si>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</si>
  <si>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</si>
  <si>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</si>
  <si>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</si>
  <si>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</si>
  <si>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</si>
  <si>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</si>
  <si>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</si>
  <si>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</si>
  <si>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</si>
  <si>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</si>
  <si>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</si>
  <si>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</si>
  <si>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</si>
  <si>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</si>
  <si>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</si>
  <si>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</si>
  <si>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</si>
  <si>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</si>
  <si>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</si>
  <si>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</si>
  <si>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</si>
  <si>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</si>
  <si>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</si>
  <si>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</si>
  <si>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</si>
  <si>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</si>
  <si>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</si>
  <si>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</si>
  <si>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</si>
  <si>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</si>
  <si>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</si>
  <si>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</si>
  <si>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</si>
  <si>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</si>
  <si>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</si>
  <si>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</si>
  <si>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</si>
  <si>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</si>
  <si>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</si>
  <si>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</si>
  <si>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</si>
  <si>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</si>
  <si>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</si>
  <si>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</si>
  <si>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</si>
  <si>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</si>
  <si>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</si>
  <si>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</si>
  <si>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</si>
  <si>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</si>
  <si>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</si>
  <si>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</si>
  <si>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</si>
  <si>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</si>
  <si>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</si>
  <si>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</si>
  <si>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</si>
  <si>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</si>
  <si>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</si>
  <si>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</si>
  <si>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</si>
  <si>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</si>
  <si>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</si>
  <si>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</si>
  <si>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</si>
  <si>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</si>
  <si>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</si>
  <si>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</si>
  <si>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</si>
  <si>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</si>
  <si>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</si>
  <si>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</si>
  <si>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</si>
  <si>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</si>
  <si>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</si>
  <si>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</si>
  <si>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</si>
  <si>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</si>
  <si>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</si>
  <si>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</si>
  <si>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</si>
  <si>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</si>
  <si>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</si>
  <si>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</si>
  <si>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</si>
  <si>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</si>
  <si>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</si>
  <si>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</si>
  <si>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</si>
  <si>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</si>
  <si>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</si>
  <si>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</si>
  <si>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</si>
  <si>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</si>
  <si>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</si>
  <si>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</si>
  <si>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</si>
  <si>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</si>
  <si>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</si>
  <si>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</si>
  <si>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</si>
  <si>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</si>
  <si>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</si>
  <si>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</si>
  <si>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</si>
  <si>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</si>
  <si>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</si>
  <si>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</si>
  <si>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</si>
  <si>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</si>
  <si>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</si>
  <si>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</si>
  <si>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</si>
  <si>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</si>
  <si>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</si>
  <si>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</si>
  <si>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</si>
  <si>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</si>
  <si>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</si>
  <si>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</si>
  <si>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</si>
  <si>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</si>
  <si>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</si>
  <si>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</si>
  <si>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</si>
  <si>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</si>
  <si>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</si>
  <si>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</si>
  <si>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</si>
  <si>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</si>
  <si>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</si>
  <si>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</si>
  <si>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</si>
  <si>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</si>
  <si>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</si>
  <si>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</si>
  <si>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</si>
  <si>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</si>
  <si>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</si>
  <si>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</si>
  <si>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</si>
  <si>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</si>
  <si>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</si>
  <si>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</si>
  <si>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</si>
  <si>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</si>
  <si>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</si>
  <si>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</si>
  <si>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</si>
  <si>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</si>
  <si>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</si>
  <si>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</si>
  <si>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</si>
  <si>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</si>
  <si>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</si>
  <si>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</si>
  <si>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</si>
  <si>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</si>
  <si>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</si>
  <si>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</si>
  <si>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</si>
  <si>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</si>
  <si>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</si>
  <si>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</si>
  <si>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</si>
  <si>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</si>
  <si>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</si>
  <si>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</si>
  <si>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</si>
  <si>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</si>
  <si>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</si>
  <si>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</si>
  <si>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</si>
  <si>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</si>
  <si>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</si>
  <si>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</si>
  <si>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</si>
  <si>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</si>
  <si>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</si>
  <si>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</si>
  <si>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</si>
  <si>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</si>
  <si>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</si>
  <si>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</si>
  <si>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</si>
  <si>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</si>
  <si>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</si>
  <si>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</si>
  <si>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</si>
  <si>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</si>
  <si>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</si>
  <si>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</si>
  <si>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</si>
  <si>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</si>
  <si>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</si>
  <si>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</si>
  <si>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</si>
  <si>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</si>
  <si>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</si>
  <si>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</si>
  <si>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</si>
  <si>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</si>
  <si>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</si>
  <si>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</si>
  <si>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</si>
  <si>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</si>
  <si>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</si>
  <si>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</si>
  <si>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</si>
  <si>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</si>
  <si>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</si>
  <si>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</si>
  <si>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</si>
  <si>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</si>
  <si>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</si>
  <si>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</si>
  <si>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</si>
  <si>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</si>
  <si>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</si>
  <si>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</si>
  <si>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</si>
  <si>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</si>
  <si>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</si>
  <si>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</si>
  <si>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</si>
  <si>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</si>
  <si>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</si>
  <si>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</si>
  <si>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</si>
  <si>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</si>
  <si>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</si>
  <si>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</si>
  <si>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</si>
  <si>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</si>
  <si>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</si>
  <si>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</si>
  <si>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</si>
  <si>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</si>
  <si>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</si>
  <si>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</si>
  <si>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</si>
  <si>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</si>
  <si>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</si>
  <si>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</si>
  <si>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</si>
  <si>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</si>
  <si>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</si>
  <si>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</si>
  <si>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</si>
  <si>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</si>
  <si>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</si>
  <si>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</si>
  <si>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</si>
  <si>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</si>
  <si>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</si>
  <si>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</si>
  <si>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</si>
  <si>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</si>
  <si>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</si>
  <si>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</si>
  <si>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</si>
  <si>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</si>
  <si>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</si>
  <si>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</si>
  <si>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</si>
  <si>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</si>
  <si>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</si>
  <si>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</si>
  <si>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</si>
  <si>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</si>
  <si>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</si>
  <si>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</si>
  <si>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</si>
  <si>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</si>
  <si>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</si>
  <si>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</si>
  <si>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</si>
  <si>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</si>
  <si>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</si>
  <si>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</si>
  <si>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</si>
  <si>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</si>
  <si>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</si>
  <si>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</si>
  <si>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</si>
  <si>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</si>
  <si>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</si>
  <si>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</si>
  <si>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</si>
  <si>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</si>
  <si>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</si>
  <si>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</si>
  <si>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</si>
  <si>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</si>
  <si>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</si>
  <si>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</si>
  <si>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</si>
  <si>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</si>
  <si>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</si>
  <si>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</si>
  <si>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</si>
  <si>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</si>
  <si>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</si>
  <si>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</si>
  <si>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</si>
  <si>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</si>
  <si>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</si>
  <si>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</si>
  <si>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</si>
  <si>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</si>
  <si>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</si>
  <si>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</si>
  <si>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</si>
  <si>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</si>
  <si>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</si>
  <si>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</si>
  <si>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</si>
  <si>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</si>
  <si>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</si>
  <si>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</si>
  <si>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</si>
  <si>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</si>
  <si>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</si>
  <si>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</si>
  <si>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</si>
  <si>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</si>
  <si>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</si>
  <si>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</si>
  <si>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</si>
  <si>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</si>
  <si>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</si>
  <si>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</si>
  <si>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</si>
  <si>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</si>
  <si>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</si>
  <si>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</si>
  <si>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</si>
  <si>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</si>
  <si>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</si>
  <si>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</si>
  <si>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</si>
  <si>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</si>
  <si>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</si>
  <si>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</si>
  <si>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</si>
  <si>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</si>
  <si>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</si>
  <si>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</si>
  <si>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</si>
  <si>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</si>
  <si>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</si>
  <si>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</si>
  <si>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</si>
  <si>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</si>
  <si>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</si>
  <si>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</si>
  <si>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</si>
  <si>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</si>
  <si>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</si>
  <si>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</si>
  <si>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</si>
  <si>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</si>
  <si>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</si>
  <si>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</si>
  <si>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</si>
  <si>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</si>
  <si>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</si>
  <si>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</si>
  <si>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</si>
  <si>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</si>
  <si>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</si>
  <si>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</si>
  <si>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</si>
  <si>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</si>
  <si>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</si>
  <si>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</si>
  <si>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</si>
  <si>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</si>
  <si>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</si>
  <si>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</si>
  <si>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</si>
  <si>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</si>
  <si>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</si>
  <si>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</si>
  <si>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</si>
  <si>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</si>
  <si>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</si>
  <si>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</si>
  <si>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</si>
  <si>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</si>
  <si>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</si>
  <si>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</si>
  <si>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</si>
  <si>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</si>
  <si>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</si>
  <si>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</si>
  <si>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</si>
  <si>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</si>
  <si>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</si>
  <si>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</si>
  <si>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</si>
  <si>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</si>
  <si>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</si>
  <si>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</si>
  <si>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</si>
  <si>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</si>
  <si>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</si>
  <si>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</si>
  <si>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</si>
  <si>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</si>
  <si>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</si>
  <si>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</si>
  <si>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</si>
  <si>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</si>
  <si>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</si>
  <si>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</si>
  <si>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</si>
  <si>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</si>
  <si>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</si>
  <si>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</si>
  <si>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</si>
  <si>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</si>
  <si>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</si>
  <si>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</si>
  <si>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</si>
  <si>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</si>
  <si>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</si>
  <si>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</si>
  <si>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</si>
  <si>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</si>
  <si>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</si>
  <si>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</si>
  <si>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</si>
  <si>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</si>
  <si>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</si>
  <si>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</si>
  <si>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</si>
  <si>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</si>
  <si>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</si>
  <si>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</si>
  <si>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</si>
  <si>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</si>
  <si>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</si>
  <si>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</si>
  <si>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</si>
  <si>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</si>
  <si>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</si>
  <si>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</si>
  <si>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</si>
  <si>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</si>
  <si>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</si>
  <si>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</si>
  <si>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</si>
  <si>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</si>
  <si>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</si>
  <si>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</si>
  <si>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</si>
  <si>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</si>
  <si>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</si>
  <si>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</si>
  <si>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</si>
  <si>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</si>
  <si>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</si>
  <si>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</si>
  <si>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</si>
  <si>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</si>
  <si>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</si>
  <si>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</si>
  <si>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</si>
  <si>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</si>
  <si>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</si>
  <si>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</si>
  <si>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</si>
  <si>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</si>
  <si>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</si>
  <si>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</si>
  <si>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</si>
  <si>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</si>
  <si>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</si>
  <si>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</si>
  <si>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</si>
  <si>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</si>
  <si>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</si>
  <si>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</si>
  <si>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</si>
  <si>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</si>
  <si>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</si>
  <si>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</si>
  <si>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</si>
  <si>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</si>
  <si>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</si>
  <si>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</si>
  <si>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</si>
  <si>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</si>
  <si>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</si>
  <si>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</si>
  <si>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</si>
  <si>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</si>
  <si>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</si>
  <si>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</si>
  <si>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</si>
  <si>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</si>
  <si>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</si>
  <si>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</si>
  <si>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</si>
  <si>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</si>
  <si>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</si>
  <si>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</si>
  <si>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</si>
  <si>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</si>
  <si>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</si>
  <si>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</si>
  <si>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</si>
  <si>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</si>
  <si>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</si>
  <si>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</si>
  <si>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</si>
  <si>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</si>
  <si>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</si>
  <si>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</si>
  <si>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</si>
  <si>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</si>
  <si>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</si>
  <si>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</si>
  <si>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</si>
  <si>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</si>
  <si>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</si>
  <si>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</si>
  <si>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</si>
  <si>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</si>
  <si>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</si>
  <si>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</si>
  <si>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</si>
  <si>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</si>
  <si>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</si>
  <si>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</si>
  <si>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</si>
  <si>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</si>
  <si>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</si>
  <si>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</si>
  <si>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</si>
  <si>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</si>
  <si>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</si>
  <si>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</si>
  <si>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</si>
  <si>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</si>
  <si>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</si>
  <si>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</si>
  <si>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</si>
  <si>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</si>
  <si>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</si>
  <si>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</si>
  <si>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</si>
  <si>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</si>
  <si>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</si>
  <si>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</si>
  <si>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</si>
  <si>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</si>
  <si>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</si>
  <si>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</si>
  <si>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</si>
  <si>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</si>
  <si>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</si>
  <si>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</si>
  <si>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</si>
  <si>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</si>
  <si>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</si>
  <si>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</si>
  <si>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</si>
  <si>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</si>
  <si>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</si>
  <si>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</si>
  <si>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</si>
  <si>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</si>
  <si>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</si>
  <si>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</si>
  <si>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</si>
  <si>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</si>
  <si>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</si>
  <si>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</si>
  <si>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</si>
  <si>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</si>
  <si>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</si>
  <si>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</si>
  <si>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</si>
  <si>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</si>
  <si>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</si>
  <si>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</si>
  <si>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</si>
  <si>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</si>
  <si>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</si>
  <si>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</si>
  <si>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</si>
  <si>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</si>
  <si>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</si>
  <si>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</si>
  <si>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</si>
  <si>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</si>
  <si>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</si>
  <si>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</si>
  <si>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</si>
  <si>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</si>
  <si>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</si>
  <si>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</si>
  <si>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</si>
  <si>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</si>
  <si>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</si>
  <si>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</si>
  <si>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</si>
  <si>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</si>
  <si>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</si>
  <si>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</si>
  <si>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</si>
  <si>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</si>
  <si>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</si>
  <si>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</si>
  <si>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</si>
  <si>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</si>
  <si>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</si>
  <si>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</si>
  <si>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</si>
  <si>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</si>
  <si>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</si>
  <si>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</si>
  <si>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</si>
  <si>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</si>
  <si>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</si>
  <si>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</si>
  <si>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</si>
  <si>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</si>
  <si>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</si>
  <si>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</si>
  <si>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</si>
  <si>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</si>
  <si>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</si>
  <si>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</si>
  <si>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</si>
  <si>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</si>
  <si>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</si>
  <si>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</si>
  <si>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</si>
  <si>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</si>
  <si>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</si>
  <si>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</si>
  <si>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</si>
  <si>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</si>
  <si>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</si>
  <si>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</si>
  <si>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</si>
  <si>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</si>
  <si>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</si>
  <si>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</si>
  <si>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</si>
  <si>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</si>
  <si>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</si>
  <si>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</si>
  <si>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</si>
  <si>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</si>
  <si>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</si>
  <si>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</si>
  <si>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</si>
  <si>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</si>
  <si>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</si>
  <si>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</si>
  <si>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</si>
  <si>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</si>
  <si>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</si>
  <si>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</si>
  <si>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</si>
  <si>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</si>
  <si>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</si>
  <si>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</si>
  <si>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</si>
  <si>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</si>
  <si>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</si>
  <si>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</si>
  <si>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</si>
  <si>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</si>
  <si>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</si>
  <si>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</si>
  <si>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</si>
  <si>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</si>
  <si>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</si>
  <si>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</si>
  <si>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</si>
  <si>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</si>
  <si>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</si>
  <si>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</si>
  <si>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</si>
  <si>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</si>
  <si>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</si>
  <si>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</si>
  <si>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</si>
  <si>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</si>
  <si>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</si>
  <si>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</si>
  <si>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</si>
  <si>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</si>
  <si>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</si>
  <si>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</si>
  <si>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</si>
  <si>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</si>
  <si>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</si>
  <si>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</si>
  <si>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</si>
  <si>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</si>
  <si>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</si>
  <si>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</si>
  <si>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</si>
  <si>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</si>
  <si>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</si>
  <si>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</si>
  <si>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</si>
  <si>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</si>
  <si>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</si>
  <si>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</si>
  <si>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</si>
  <si>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</si>
  <si>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</si>
  <si>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</si>
  <si>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</si>
  <si>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</si>
  <si>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</si>
  <si>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</si>
  <si>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</si>
  <si>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</si>
  <si>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</si>
  <si>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</si>
  <si>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</si>
  <si>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</si>
  <si>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</si>
  <si>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</si>
  <si>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</si>
  <si>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</si>
  <si>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</si>
  <si>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</si>
  <si>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</si>
  <si>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</si>
  <si>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</si>
  <si>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</si>
  <si>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</si>
  <si>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</si>
  <si>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</si>
  <si>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</si>
  <si>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</si>
  <si>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</si>
  <si>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</si>
  <si>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</si>
  <si>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</si>
  <si>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</si>
  <si>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</si>
  <si>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</si>
  <si>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</si>
  <si>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</si>
  <si>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</si>
  <si>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</si>
  <si>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</si>
  <si>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</si>
  <si>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</si>
  <si>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</si>
  <si>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</si>
  <si>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</si>
  <si>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</si>
  <si>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</si>
  <si>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</si>
  <si>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</si>
  <si>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</si>
  <si>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</si>
  <si>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</si>
  <si>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</si>
  <si>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</si>
  <si>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</si>
  <si>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</si>
  <si>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</si>
  <si>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</si>
  <si>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</si>
  <si>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</si>
  <si>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</si>
  <si>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</si>
  <si>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</si>
  <si>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</si>
  <si>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</si>
  <si>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</si>
  <si>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</si>
  <si>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</si>
  <si>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</si>
  <si>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</si>
  <si>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</si>
  <si>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</si>
  <si>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</si>
  <si>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</si>
  <si>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</si>
  <si>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</si>
  <si>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</si>
  <si>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</si>
  <si>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</si>
  <si>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</si>
  <si>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</si>
  <si>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</si>
  <si>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</si>
  <si>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</si>
  <si>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</si>
  <si>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</si>
  <si>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</si>
  <si>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</si>
  <si>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</si>
  <si>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</si>
  <si>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</si>
  <si>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</si>
  <si>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</si>
  <si>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</si>
  <si>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</si>
  <si>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</si>
  <si>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</si>
  <si>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</si>
  <si>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</si>
  <si>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</si>
  <si>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</si>
  <si>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</si>
  <si>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</si>
  <si>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</si>
  <si>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</si>
  <si>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</si>
  <si>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</si>
  <si>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</si>
  <si>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</si>
  <si>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</si>
  <si>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</si>
  <si>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</si>
  <si>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</si>
  <si>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</si>
  <si>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</si>
  <si>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</si>
  <si>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</si>
  <si>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</si>
  <si>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</si>
  <si>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</si>
  <si>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</si>
  <si>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</si>
  <si>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</si>
  <si>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</si>
  <si>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</si>
  <si>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</si>
  <si>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</si>
  <si>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</si>
  <si>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</si>
  <si>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</si>
  <si>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</si>
  <si>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</si>
  <si>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</si>
  <si>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</si>
  <si>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</si>
  <si>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</si>
  <si>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</si>
  <si>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</si>
  <si>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</si>
  <si>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</si>
  <si>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</si>
  <si>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</si>
  <si>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</si>
  <si>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</si>
  <si>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</si>
  <si>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</si>
  <si>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</si>
  <si>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</si>
  <si>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</si>
  <si>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</si>
  <si>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</si>
  <si>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</si>
  <si>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</si>
  <si>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</si>
  <si>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</si>
  <si>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</si>
  <si>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</si>
  <si>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</si>
  <si>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</si>
  <si>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</si>
  <si>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</si>
  <si>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</si>
  <si>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</si>
  <si>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</si>
  <si>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</si>
  <si>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</si>
  <si>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</si>
  <si>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</si>
  <si>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</si>
  <si>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</si>
  <si>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</si>
  <si>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</si>
  <si>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</si>
  <si>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</si>
  <si>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</si>
  <si>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</si>
  <si>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</si>
  <si>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</si>
  <si>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</si>
  <si>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</si>
  <si>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</si>
  <si>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</si>
  <si>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</si>
  <si>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</si>
  <si>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</si>
  <si>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</si>
  <si>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</si>
  <si>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</si>
  <si>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</si>
  <si>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</si>
  <si>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</si>
  <si>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</si>
  <si>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</si>
  <si>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</si>
  <si>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</si>
  <si>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</si>
  <si>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</si>
  <si>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</si>
  <si>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</si>
  <si>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</si>
  <si>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</si>
  <si>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</si>
  <si>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</si>
  <si>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</si>
  <si>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</si>
  <si>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</si>
  <si>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</si>
  <si>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</si>
  <si>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</si>
  <si>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</si>
  <si>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</si>
  <si>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</si>
  <si>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</si>
  <si>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</si>
  <si>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</si>
  <si>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</si>
  <si>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</si>
  <si>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</si>
  <si>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</si>
  <si>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</si>
  <si>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</si>
  <si>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</si>
  <si>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</si>
  <si>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</si>
  <si>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</si>
  <si>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</si>
  <si>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</si>
  <si>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</si>
  <si>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</si>
  <si>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</si>
  <si>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</si>
  <si>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</si>
  <si>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</si>
  <si>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</si>
  <si>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</si>
  <si>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</si>
  <si>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</si>
  <si>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</si>
  <si>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</si>
  <si>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</si>
  <si>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</si>
  <si>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</si>
  <si>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</si>
  <si>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</si>
  <si>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</si>
  <si>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</si>
  <si>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</si>
  <si>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</si>
  <si>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</si>
  <si>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</si>
  <si>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</si>
  <si>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</si>
  <si>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</si>
  <si>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</si>
  <si>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</si>
  <si>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</si>
  <si>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</si>
  <si>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</si>
  <si>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</si>
  <si>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</si>
  <si>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</si>
  <si>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</si>
  <si>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</si>
  <si>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</si>
  <si>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</si>
  <si>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</si>
  <si>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</si>
  <si>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</si>
  <si>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</si>
  <si>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</si>
  <si>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</si>
  <si>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</si>
  <si>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</si>
  <si>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</si>
  <si>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</si>
  <si>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</si>
  <si>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</si>
  <si>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</si>
  <si>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</si>
  <si>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</si>
  <si>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</si>
  <si>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</si>
  <si>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</si>
  <si>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</si>
  <si>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</si>
  <si>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</si>
  <si>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</si>
  <si>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</si>
  <si>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</si>
  <si>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</si>
  <si>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</si>
  <si>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</si>
  <si>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</si>
  <si>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</si>
  <si>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</si>
  <si>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</si>
  <si>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</si>
  <si>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</si>
  <si>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</si>
  <si>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</si>
  <si>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</si>
  <si>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</si>
  <si>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</si>
  <si>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</si>
  <si>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</si>
  <si>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</si>
  <si>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</si>
  <si>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</si>
  <si>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</si>
  <si>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</si>
  <si>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</si>
  <si>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</si>
  <si>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</si>
  <si>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</si>
  <si>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</si>
  <si>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</si>
  <si>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</si>
  <si>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</si>
  <si>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</si>
  <si>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</si>
  <si>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</si>
  <si>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</si>
  <si>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</si>
  <si>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</si>
  <si>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</si>
  <si>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</si>
  <si>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</si>
  <si>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</si>
  <si>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</si>
  <si>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</si>
  <si>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</si>
  <si>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</si>
  <si>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</si>
  <si>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</si>
  <si>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</si>
  <si>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</si>
  <si>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</si>
  <si>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</si>
  <si>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</si>
  <si>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</si>
  <si>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</si>
  <si>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</si>
  <si>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</si>
  <si>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</si>
  <si>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</si>
  <si>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</si>
  <si>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</si>
  <si>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</si>
  <si>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</si>
  <si>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</si>
  <si>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</si>
  <si>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</si>
  <si>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</si>
  <si>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</si>
  <si>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</si>
  <si>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</si>
  <si>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</si>
  <si>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</si>
  <si>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</si>
  <si>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</si>
  <si>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</si>
  <si>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</si>
  <si>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</si>
  <si>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</si>
  <si>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</si>
  <si>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</si>
  <si>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</si>
  <si>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</si>
  <si>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</si>
  <si>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</si>
  <si>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</si>
  <si>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</si>
  <si>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</si>
  <si>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</si>
  <si>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</si>
  <si>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</si>
  <si>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</si>
  <si>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</si>
  <si>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</si>
  <si>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</si>
  <si>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</si>
  <si>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</si>
  <si>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</si>
  <si>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</si>
  <si>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</si>
  <si>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</si>
  <si>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</si>
  <si>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</si>
  <si>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</si>
  <si>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</si>
  <si>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</si>
  <si>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</si>
  <si>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</si>
  <si>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</si>
  <si>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</si>
  <si>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</si>
  <si>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</si>
  <si>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</si>
  <si>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</si>
  <si>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</si>
  <si>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</si>
  <si>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</si>
  <si>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</si>
  <si>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</si>
  <si>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</si>
  <si>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</si>
  <si>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</si>
  <si>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</si>
  <si>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</si>
  <si>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</si>
  <si>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</si>
  <si>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</si>
  <si>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</si>
  <si>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</si>
  <si>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</si>
  <si>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</si>
  <si>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</si>
  <si>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</si>
  <si>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</si>
  <si>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</si>
  <si>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</si>
  <si>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</si>
  <si>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</si>
  <si>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</si>
  <si>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</si>
  <si>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</si>
  <si>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</si>
  <si>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</si>
  <si>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</si>
  <si>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</si>
  <si>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</si>
  <si>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</si>
  <si>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</si>
  <si>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</si>
  <si>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</si>
  <si>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</si>
  <si>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</si>
  <si>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</si>
  <si>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</si>
  <si>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</si>
  <si>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</si>
  <si>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</si>
  <si>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</si>
  <si>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</si>
  <si>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</si>
  <si>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</si>
  <si>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</si>
  <si>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</si>
  <si>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</si>
  <si>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</si>
  <si>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</si>
  <si>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</si>
  <si>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</si>
  <si>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</si>
  <si>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</si>
  <si>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</si>
  <si>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</si>
  <si>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</si>
  <si>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</si>
  <si>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</si>
  <si>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</si>
  <si>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</si>
  <si>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</si>
  <si>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</si>
  <si>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</si>
  <si>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</si>
  <si>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</si>
  <si>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</si>
  <si>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</si>
  <si>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</si>
  <si>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</si>
  <si>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</si>
  <si>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</si>
  <si>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</si>
  <si>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</si>
  <si>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</si>
  <si>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</si>
  <si>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</si>
  <si>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</si>
  <si>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</si>
  <si>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</si>
  <si>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</si>
  <si>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</si>
  <si>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</si>
  <si>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</si>
  <si>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</si>
  <si>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</si>
  <si>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</si>
  <si>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</si>
  <si>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</si>
  <si>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</si>
  <si>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</si>
  <si>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</si>
  <si>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</si>
  <si>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</si>
  <si>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</si>
  <si>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</si>
  <si>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</si>
  <si>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</si>
  <si>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</si>
  <si>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</si>
  <si>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</si>
  <si>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</si>
  <si>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</si>
  <si>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</si>
  <si>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</si>
  <si>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</si>
  <si>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</si>
  <si>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</si>
  <si>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</si>
  <si>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</si>
  <si>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</si>
  <si>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</si>
  <si>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</si>
  <si>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</si>
  <si>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</si>
  <si>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</si>
  <si>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</si>
  <si>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</si>
  <si>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</si>
  <si>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</si>
  <si>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</si>
  <si>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</si>
  <si>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</si>
  <si>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</si>
  <si>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</si>
  <si>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</si>
  <si>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</si>
  <si>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</si>
  <si>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</si>
  <si>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</si>
  <si>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</si>
  <si>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</si>
  <si>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</si>
  <si>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</si>
  <si>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</si>
  <si>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</si>
  <si>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</si>
  <si>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</si>
  <si>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</si>
  <si>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</si>
  <si>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</si>
  <si>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</si>
  <si>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</si>
  <si>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</si>
  <si>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</si>
  <si>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</si>
  <si>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</si>
  <si>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</si>
  <si>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</si>
  <si>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</si>
  <si>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</si>
  <si>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</si>
  <si>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</si>
  <si>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</si>
  <si>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</si>
  <si>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</si>
  <si>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</si>
  <si>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</si>
  <si>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</si>
  <si>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</si>
  <si>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</si>
  <si>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</si>
  <si>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</si>
  <si>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</si>
  <si>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</si>
  <si>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</si>
  <si>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</si>
  <si>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</si>
  <si>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</si>
  <si>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</si>
  <si>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</si>
  <si>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</si>
  <si>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</si>
  <si>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</si>
  <si>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</si>
  <si>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</si>
  <si>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</si>
  <si>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</si>
  <si>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</si>
  <si>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</si>
  <si>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</si>
  <si>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</si>
  <si>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</si>
  <si>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</si>
  <si>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</si>
  <si>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</si>
  <si>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</si>
  <si>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</si>
  <si>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</si>
  <si>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</si>
  <si>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</si>
  <si>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</si>
  <si>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</si>
  <si>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</si>
  <si>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</si>
  <si>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</si>
  <si>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</si>
  <si>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</si>
  <si>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</si>
  <si>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</si>
  <si>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</si>
  <si>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</si>
  <si>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</si>
  <si>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</si>
  <si>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</si>
  <si>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</si>
  <si>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</si>
  <si>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</si>
  <si>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</si>
  <si>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</si>
  <si>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</si>
  <si>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</si>
  <si>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</si>
  <si>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</si>
  <si>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</si>
  <si>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</si>
  <si>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</si>
  <si>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</si>
  <si>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</si>
  <si>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</si>
  <si>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</si>
  <si>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</si>
  <si>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</si>
  <si>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</si>
  <si>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</si>
  <si>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</si>
  <si>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</si>
  <si>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</si>
  <si>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</si>
  <si>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</si>
  <si>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</si>
  <si>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</si>
  <si>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</si>
  <si>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</si>
  <si>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</si>
  <si>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</si>
  <si>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</si>
  <si>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</si>
  <si>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</si>
  <si>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</si>
  <si>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</si>
  <si>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</si>
  <si>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</si>
  <si>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</si>
  <si>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</si>
  <si>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</si>
  <si>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</si>
  <si>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</si>
  <si>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</si>
  <si>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</si>
  <si>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</si>
  <si>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</si>
  <si>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</si>
  <si>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</si>
  <si>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</si>
  <si>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</si>
  <si>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</si>
  <si>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</si>
  <si>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</si>
  <si>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</si>
  <si>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</si>
  <si>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</si>
  <si>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</si>
  <si>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</si>
  <si>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</si>
  <si>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</si>
  <si>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</si>
  <si>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</si>
  <si>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</si>
  <si>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</si>
  <si>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</si>
  <si>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</si>
  <si>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</si>
  <si>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</si>
  <si>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</si>
  <si>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</si>
  <si>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</si>
  <si>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</si>
  <si>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</si>
  <si>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</si>
  <si>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</si>
  <si>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</si>
  <si>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</si>
  <si>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</si>
  <si>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</si>
  <si>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</si>
  <si>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</si>
  <si>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</si>
  <si>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</si>
  <si>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</si>
  <si>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</si>
  <si>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</si>
  <si>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</si>
  <si>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</si>
  <si>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</si>
  <si>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</si>
  <si>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</si>
  <si>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</si>
  <si>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</si>
  <si>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</si>
  <si>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</si>
  <si>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</si>
  <si>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</si>
  <si>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</si>
  <si>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</si>
  <si>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</si>
  <si>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</si>
  <si>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</si>
  <si>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</si>
  <si>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</si>
  <si>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</si>
  <si>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</si>
  <si>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</si>
  <si>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</si>
  <si>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</si>
  <si>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</si>
  <si>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</si>
  <si>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</si>
  <si>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</si>
  <si>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</si>
  <si>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</si>
  <si>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</si>
  <si>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</si>
  <si>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</si>
  <si>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</si>
  <si>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</si>
  <si>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</si>
  <si>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</si>
  <si>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</si>
  <si>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</si>
  <si>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</si>
  <si>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</si>
  <si>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</si>
  <si>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</si>
  <si>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</si>
  <si>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</si>
  <si>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</si>
  <si>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</si>
  <si>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</si>
  <si>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</si>
  <si>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</si>
  <si>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</si>
  <si>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</si>
  <si>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</si>
  <si>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</si>
  <si>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</si>
  <si>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</si>
  <si>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</si>
  <si>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</si>
  <si>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</si>
  <si>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</si>
  <si>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</si>
  <si>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</si>
  <si>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</si>
  <si>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</si>
  <si>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</si>
  <si>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</si>
  <si>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</si>
  <si>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</si>
  <si>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</si>
  <si>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</si>
  <si>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</si>
  <si>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</si>
  <si>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</si>
  <si>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</si>
  <si>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</si>
  <si>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</si>
  <si>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</si>
  <si>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</si>
  <si>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</si>
  <si>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</si>
  <si>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</si>
  <si>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</si>
  <si>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</si>
  <si>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</si>
  <si>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</si>
  <si>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</si>
  <si>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</si>
  <si>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</si>
  <si>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</si>
  <si>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</si>
  <si>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</si>
  <si>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</si>
  <si>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</si>
  <si>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</si>
  <si>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</si>
  <si>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</si>
  <si>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</si>
  <si>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</si>
  <si>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</si>
  <si>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</si>
  <si>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</si>
  <si>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</si>
  <si>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</si>
  <si>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</si>
  <si>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</si>
  <si>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</si>
  <si>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</si>
  <si>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</si>
  <si>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</si>
  <si>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</si>
  <si>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</si>
  <si>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</si>
  <si>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</si>
  <si>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</si>
  <si>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</si>
  <si>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</si>
  <si>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</si>
  <si>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</si>
  <si>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</si>
  <si>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</si>
  <si>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</si>
  <si>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</si>
  <si>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</si>
  <si>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</si>
  <si>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</si>
  <si>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</si>
  <si>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</si>
  <si>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</si>
  <si>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</si>
  <si>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</si>
  <si>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</si>
  <si>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</si>
  <si>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</si>
  <si>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</si>
  <si>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</si>
  <si>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</si>
  <si>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</si>
  <si>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</si>
  <si>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</si>
  <si>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</si>
  <si>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</si>
  <si>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</si>
  <si>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</si>
  <si>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</si>
  <si>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</si>
  <si>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</si>
  <si>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</si>
  <si>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</si>
  <si>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</si>
  <si>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</si>
  <si>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</si>
  <si>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</si>
  <si>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</si>
  <si>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</si>
  <si>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</si>
  <si>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</si>
  <si>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</si>
  <si>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</si>
  <si>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</si>
  <si>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</si>
  <si>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</si>
  <si>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</si>
  <si>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</si>
  <si>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</si>
  <si>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</si>
  <si>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</si>
  <si>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</si>
  <si>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</si>
  <si>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</si>
  <si>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</si>
  <si>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</si>
  <si>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</si>
  <si>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</si>
  <si>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</si>
  <si>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</si>
  <si>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</si>
  <si>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</si>
  <si>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</si>
  <si>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</si>
  <si>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</si>
  <si>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</si>
  <si>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</si>
  <si>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</si>
  <si>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</si>
  <si>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</si>
  <si>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</si>
  <si>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</si>
  <si>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</si>
  <si>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</si>
  <si>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</si>
  <si>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</si>
  <si>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</si>
  <si>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</si>
  <si>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</si>
  <si>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</si>
  <si>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</si>
  <si>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</si>
  <si>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</si>
  <si>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</si>
  <si>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</si>
  <si>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</si>
  <si>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</si>
  <si>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</si>
  <si>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</si>
  <si>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</si>
  <si>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</si>
  <si>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</si>
  <si>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</si>
  <si>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</si>
  <si>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</si>
  <si>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</si>
  <si>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</si>
  <si>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</si>
  <si>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</si>
  <si>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</si>
  <si>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</si>
  <si>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</si>
  <si>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</si>
  <si>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</si>
  <si>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</si>
  <si>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</si>
  <si>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</si>
  <si>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</si>
  <si>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</si>
  <si>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</si>
  <si>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</si>
  <si>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</si>
  <si>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</si>
  <si>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</si>
  <si>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</si>
  <si>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</si>
  <si>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</si>
  <si>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</si>
  <si>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</si>
  <si>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</si>
  <si>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</si>
  <si>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</si>
  <si>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</si>
  <si>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</si>
  <si>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</si>
  <si>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</si>
  <si>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</si>
  <si>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</si>
  <si>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</si>
  <si>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</si>
  <si>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</si>
  <si>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</si>
  <si>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</si>
  <si>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</si>
  <si>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</si>
  <si>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</si>
  <si>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</si>
  <si>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</si>
  <si>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</si>
  <si>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</si>
  <si>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</si>
  <si>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</si>
  <si>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</si>
  <si>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</si>
  <si>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</si>
  <si>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</si>
  <si>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</si>
  <si>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</si>
  <si>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</si>
  <si>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</si>
  <si>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</si>
  <si>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</si>
  <si>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</si>
  <si>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</si>
  <si>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</si>
  <si>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</si>
  <si>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</si>
  <si>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</si>
  <si>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</si>
  <si>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</si>
  <si>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</si>
  <si>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</si>
  <si>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</si>
  <si>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</si>
  <si>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</si>
  <si>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</si>
  <si>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</si>
  <si>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</si>
  <si>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</si>
  <si>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</si>
  <si>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</si>
  <si>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</si>
  <si>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</si>
  <si>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</si>
  <si>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</si>
  <si>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</si>
  <si>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</si>
  <si>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</si>
  <si>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</si>
  <si>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</si>
  <si>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</si>
  <si>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</si>
  <si>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</si>
  <si>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</si>
  <si>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</si>
  <si>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</si>
  <si>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</si>
  <si>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</si>
  <si>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</si>
  <si>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</si>
  <si>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</si>
  <si>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</si>
  <si>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</si>
  <si>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</si>
  <si>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</si>
  <si>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</si>
  <si>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</si>
  <si>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</si>
  <si>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</si>
  <si>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</si>
  <si>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</si>
  <si>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</si>
  <si>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</si>
  <si>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</si>
  <si>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</si>
  <si>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</si>
  <si>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</si>
  <si>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</si>
  <si>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</si>
  <si>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</si>
  <si>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</si>
  <si>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</si>
  <si>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</si>
  <si>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</si>
  <si>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</si>
  <si>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</si>
  <si>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</si>
  <si>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</si>
  <si>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</si>
  <si>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</si>
  <si>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</si>
  <si>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</si>
  <si>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</si>
  <si>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</si>
  <si>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</si>
  <si>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</si>
  <si>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</si>
  <si>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</si>
  <si>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</si>
  <si>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</si>
  <si>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</si>
  <si>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</si>
  <si>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</si>
  <si>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</si>
  <si>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</si>
  <si>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</si>
  <si>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</si>
  <si>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</si>
  <si>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</si>
  <si>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</si>
  <si>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</si>
  <si>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</si>
  <si>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</si>
  <si>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</si>
  <si>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</si>
  <si>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</si>
  <si>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</si>
  <si>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</si>
  <si>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</si>
  <si>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</si>
  <si>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</si>
  <si>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</si>
  <si>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</si>
  <si>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</si>
  <si>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</si>
  <si>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</si>
  <si>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</si>
  <si>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</si>
  <si>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</si>
  <si>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</si>
  <si>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</si>
  <si>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</si>
  <si>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</si>
  <si>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</si>
  <si>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</si>
  <si>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</si>
  <si>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</si>
  <si>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</si>
  <si>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</si>
  <si>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</si>
  <si>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</si>
  <si>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</si>
  <si>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</si>
  <si>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</si>
  <si>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</si>
  <si>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</si>
  <si>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</si>
  <si>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</si>
  <si>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</si>
  <si>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</si>
  <si>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</si>
  <si>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</si>
  <si>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</si>
  <si>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</si>
  <si>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</si>
  <si>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</si>
  <si>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</si>
  <si>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</si>
  <si>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</si>
  <si>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</si>
  <si>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</si>
  <si>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</si>
  <si>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</si>
  <si>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</si>
  <si>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</si>
  <si>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</si>
  <si>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</si>
  <si>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</si>
  <si>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</si>
  <si>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</si>
  <si>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</si>
  <si>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</si>
  <si>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</si>
  <si>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</si>
  <si>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</si>
  <si>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</si>
  <si>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</si>
  <si>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</si>
  <si>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</si>
  <si>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</si>
  <si>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</si>
  <si>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</si>
  <si>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</si>
  <si>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</si>
  <si>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</si>
  <si>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</si>
  <si>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</si>
  <si>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</si>
  <si>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</si>
  <si>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</si>
  <si>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</si>
  <si>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</si>
  <si>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</si>
  <si>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</si>
  <si>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</si>
  <si>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</si>
  <si>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</si>
  <si>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</si>
  <si>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</si>
  <si>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</si>
  <si>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</si>
  <si>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</si>
  <si>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</si>
  <si>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</si>
  <si>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</si>
  <si>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</si>
  <si>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</si>
  <si>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</si>
  <si>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</si>
  <si>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</si>
  <si>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</si>
  <si>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</si>
  <si>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</si>
  <si>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</si>
  <si>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</si>
  <si>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</si>
  <si>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</si>
  <si>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</si>
  <si>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</si>
  <si>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</si>
  <si>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</si>
  <si>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</si>
  <si>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</si>
  <si>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</si>
  <si>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</si>
  <si>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</si>
  <si>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</si>
  <si>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</si>
  <si>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</si>
  <si>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</si>
  <si>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</si>
  <si>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</si>
  <si>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</si>
  <si>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</si>
  <si>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</si>
  <si>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</si>
  <si>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</si>
  <si>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</si>
  <si>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</si>
  <si>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</si>
  <si>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</si>
  <si>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</si>
  <si>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</si>
  <si>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</si>
  <si>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</si>
  <si>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</si>
  <si>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</si>
  <si>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</si>
  <si>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</si>
  <si>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</si>
  <si>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</si>
  <si>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</si>
  <si>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</si>
  <si>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</si>
  <si>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</si>
  <si>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</si>
  <si>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</si>
  <si>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</si>
  <si>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</si>
  <si>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</si>
  <si>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</si>
  <si>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</si>
  <si>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</si>
  <si>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</si>
  <si>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</si>
  <si>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</si>
  <si>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</si>
  <si>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</si>
  <si>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</si>
  <si>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</si>
  <si>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</si>
  <si>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</si>
  <si>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</si>
  <si>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</si>
  <si>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</si>
  <si>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</si>
  <si>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</si>
  <si>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</si>
  <si>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</si>
  <si>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</si>
  <si>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</si>
  <si>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</si>
  <si>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</si>
  <si>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</si>
  <si>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</si>
  <si>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</si>
  <si>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</si>
  <si>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</si>
  <si>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</si>
  <si>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</si>
  <si>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</si>
  <si>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</si>
  <si>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</si>
  <si>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</si>
  <si>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</si>
  <si>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</si>
  <si>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</si>
  <si>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</si>
  <si>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</si>
  <si>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</si>
  <si>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</si>
  <si>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</si>
  <si>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</si>
  <si>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</si>
  <si>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</si>
  <si>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</si>
  <si>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</si>
  <si>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</si>
  <si>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</si>
  <si>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</si>
  <si>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</si>
  <si>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</si>
  <si>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</si>
  <si>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</si>
  <si>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</si>
  <si>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</si>
  <si>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</si>
  <si>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</si>
  <si>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</si>
  <si>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</si>
  <si>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</si>
  <si>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</si>
  <si>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</si>
  <si>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</si>
  <si>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</si>
  <si>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</si>
  <si>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</si>
  <si>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</si>
  <si>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</si>
  <si>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</si>
  <si>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</si>
  <si>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</si>
  <si>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</si>
  <si>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</si>
  <si>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</si>
  <si>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</si>
  <si>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</si>
  <si>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</si>
  <si>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</si>
  <si>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</si>
  <si>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</si>
  <si>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</si>
  <si>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</si>
  <si>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</si>
  <si>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</si>
  <si>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</si>
  <si>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</si>
  <si>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</si>
  <si>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</si>
  <si>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</si>
  <si>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</si>
  <si>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</si>
  <si>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</si>
  <si>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</si>
  <si>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</si>
  <si>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</si>
  <si>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</si>
  <si>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</si>
  <si>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</si>
  <si>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</si>
  <si>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</si>
  <si>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</si>
  <si>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</si>
  <si>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</si>
  <si>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</si>
  <si>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</si>
  <si>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</si>
  <si>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</si>
  <si>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</si>
  <si>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</si>
  <si>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</si>
  <si>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</si>
  <si>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</si>
  <si>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</si>
  <si>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</si>
  <si>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</si>
  <si>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</si>
  <si>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</si>
  <si>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</si>
  <si>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</si>
  <si>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</si>
  <si>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</si>
  <si>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</si>
  <si>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</si>
  <si>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</si>
  <si>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</si>
  <si>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</si>
  <si>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</si>
  <si>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</si>
  <si>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</si>
  <si>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</si>
  <si>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</si>
  <si>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</si>
  <si>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</si>
  <si>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</si>
  <si>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</si>
  <si>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</si>
  <si>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</si>
  <si>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</si>
  <si>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</si>
  <si>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</si>
  <si>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</si>
  <si>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</si>
  <si>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</si>
  <si>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</si>
  <si>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</si>
  <si>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</si>
  <si>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</si>
  <si>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</si>
  <si>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</si>
  <si>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</si>
  <si>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</si>
  <si>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</si>
  <si>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</si>
  <si>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</si>
  <si>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</si>
  <si>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</si>
  <si>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</si>
  <si>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</si>
  <si>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</si>
  <si>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</si>
  <si>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</si>
  <si>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</si>
  <si>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</si>
  <si>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</si>
  <si>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</si>
  <si>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</si>
  <si>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</si>
  <si>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</si>
  <si>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</si>
  <si>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</si>
  <si>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</si>
  <si>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</si>
  <si>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</si>
  <si>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</si>
  <si>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</si>
  <si>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</si>
  <si>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</si>
  <si>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</si>
  <si>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</si>
  <si>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</si>
  <si>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</si>
  <si>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</si>
  <si>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</si>
  <si>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</si>
  <si>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</si>
  <si>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</si>
  <si>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</si>
  <si>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</si>
  <si>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</si>
  <si>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</si>
  <si>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</si>
  <si>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</si>
  <si>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</si>
  <si>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</si>
  <si>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</si>
  <si>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</si>
  <si>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</si>
  <si>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</si>
  <si>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</si>
  <si>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</si>
  <si>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</si>
  <si>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</si>
  <si>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</si>
  <si>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</si>
  <si>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</si>
  <si>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</si>
  <si>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</si>
  <si>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</si>
  <si>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</si>
  <si>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</si>
  <si>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</si>
  <si>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</si>
  <si>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</si>
  <si>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</si>
  <si>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</si>
  <si>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</si>
  <si>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</si>
  <si>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</si>
  <si>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</si>
  <si>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</si>
  <si>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</si>
  <si>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</si>
  <si>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</si>
  <si>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</si>
  <si>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</si>
  <si>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</si>
  <si>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</si>
  <si>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</si>
  <si>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</si>
  <si>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</si>
  <si>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</si>
  <si>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</si>
  <si>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</si>
  <si>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</si>
  <si>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</si>
  <si>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</si>
  <si>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</si>
  <si>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</si>
  <si>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</si>
  <si>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</si>
  <si>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</si>
  <si>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</si>
  <si>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</si>
  <si>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</si>
  <si>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</si>
  <si>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</si>
  <si>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</si>
  <si>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</si>
  <si>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</si>
  <si>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</si>
  <si>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</si>
  <si>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</si>
  <si>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</si>
  <si>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</si>
  <si>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</si>
  <si>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</si>
  <si>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</si>
  <si>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</si>
  <si>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</si>
  <si>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</si>
  <si>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</si>
  <si>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</si>
  <si>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</si>
  <si>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</si>
  <si>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</si>
  <si>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</si>
  <si>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</si>
  <si>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</si>
  <si>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</si>
  <si>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</si>
  <si>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</si>
  <si>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</si>
  <si>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</si>
  <si>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</si>
  <si>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</si>
  <si>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</si>
  <si>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</si>
  <si>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</si>
  <si>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</si>
  <si>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</si>
  <si>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</si>
  <si>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</si>
  <si>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</si>
  <si>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</si>
  <si>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</si>
  <si>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</si>
  <si>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</si>
  <si>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</si>
  <si>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</si>
  <si>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</si>
  <si>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</si>
  <si>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</si>
  <si>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</si>
  <si>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</si>
  <si>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</si>
  <si>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</si>
  <si>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</si>
  <si>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</si>
  <si>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</si>
  <si>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</si>
  <si>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</si>
  <si>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</si>
  <si>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</si>
  <si>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</si>
  <si>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</si>
  <si>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</si>
  <si>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</si>
  <si>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</si>
  <si>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</si>
  <si>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</si>
  <si>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</si>
  <si>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</si>
  <si>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</si>
  <si>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</si>
  <si>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</si>
  <si>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</si>
  <si>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</si>
  <si>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</si>
  <si>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</si>
  <si>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</si>
  <si>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</si>
  <si>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</si>
  <si>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</si>
  <si>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</si>
  <si>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</si>
  <si>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</si>
  <si>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</si>
  <si>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</si>
  <si>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</si>
  <si>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</si>
  <si>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</si>
  <si>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</si>
  <si>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</si>
  <si>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</si>
  <si>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</si>
  <si>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</si>
  <si>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</si>
  <si>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</si>
  <si>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</si>
  <si>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</si>
  <si>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</si>
  <si>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</si>
  <si>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</si>
  <si>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</si>
  <si>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</si>
  <si>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</si>
  <si>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</si>
  <si>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</si>
  <si>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</si>
  <si>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</si>
  <si>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</si>
  <si>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</si>
  <si>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</si>
  <si>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</si>
  <si>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</si>
  <si>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</si>
  <si>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</si>
  <si>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</si>
  <si>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</si>
  <si>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</si>
  <si>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</si>
  <si>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</si>
  <si>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</si>
  <si>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</si>
  <si>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</si>
  <si>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</si>
  <si>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</si>
  <si>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</si>
  <si>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</si>
  <si>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</si>
  <si>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</si>
  <si>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</si>
  <si>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</si>
  <si>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</si>
  <si>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</si>
  <si>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</si>
  <si>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</si>
  <si>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</si>
  <si>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</si>
  <si>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</si>
  <si>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</si>
  <si>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</si>
  <si>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</si>
  <si>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</si>
  <si>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</si>
  <si>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</si>
  <si>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</si>
  <si>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</si>
  <si>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</si>
  <si>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</si>
  <si>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</si>
  <si>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</si>
  <si>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</si>
  <si>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</si>
  <si>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</si>
  <si>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</si>
  <si>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</si>
  <si>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</si>
  <si>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</si>
  <si>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</si>
  <si>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</si>
  <si>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</si>
  <si>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</si>
  <si>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</si>
  <si>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</si>
  <si>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</si>
  <si>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</si>
  <si>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</si>
  <si>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</si>
  <si>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</si>
  <si>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</si>
  <si>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</si>
  <si>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</si>
  <si>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</si>
  <si>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</si>
  <si>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</si>
  <si>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</si>
  <si>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</si>
  <si>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</si>
  <si>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</si>
  <si>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</si>
  <si>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</si>
  <si>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</si>
  <si>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</si>
  <si>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</si>
  <si>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</si>
  <si>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</si>
  <si>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</si>
  <si>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</si>
  <si>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</si>
  <si>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</si>
  <si>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</si>
  <si>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</si>
  <si>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</si>
  <si>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</si>
  <si>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</si>
  <si>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</si>
  <si>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</si>
  <si>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</si>
  <si>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</si>
  <si>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</si>
  <si>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</si>
  <si>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</si>
  <si>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</si>
  <si>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</si>
  <si>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</si>
  <si>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</si>
  <si>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</si>
  <si>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</si>
  <si>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</si>
  <si>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</si>
  <si>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</si>
  <si>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</si>
  <si>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</si>
  <si>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</si>
  <si>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</si>
  <si>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</si>
  <si>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</si>
  <si>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</si>
  <si>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</si>
  <si>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</si>
  <si>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</si>
  <si>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</si>
  <si>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</si>
  <si>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</si>
  <si>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</si>
  <si>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</si>
  <si>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</si>
  <si>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</si>
  <si>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</si>
  <si>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</si>
  <si>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</si>
  <si>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</si>
  <si>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</si>
  <si>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</si>
  <si>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</si>
  <si>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</si>
  <si>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</si>
  <si>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</si>
  <si>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</si>
  <si>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</si>
  <si>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</si>
  <si>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</si>
  <si>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</si>
  <si>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</si>
  <si>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</si>
  <si>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</si>
  <si>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</si>
  <si>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</si>
  <si>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</si>
  <si>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</si>
  <si>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</si>
  <si>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</si>
  <si>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</si>
  <si>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</si>
  <si>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</si>
  <si>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</si>
  <si>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</si>
  <si>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</si>
  <si>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</si>
  <si>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</si>
  <si>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</si>
  <si>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</si>
  <si>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</si>
  <si>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</si>
  <si>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</si>
  <si>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</si>
  <si>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</si>
  <si>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</si>
  <si>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</si>
  <si>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</si>
  <si>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</si>
  <si>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</si>
  <si>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</si>
  <si>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</si>
  <si>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</si>
  <si>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</si>
  <si>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</si>
  <si>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</si>
  <si>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</si>
  <si>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</si>
  <si>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</si>
  <si>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</si>
  <si>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</si>
  <si>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</si>
  <si>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</si>
  <si>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</si>
  <si>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</si>
  <si>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</si>
  <si>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</si>
  <si>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</si>
  <si>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</si>
  <si>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</si>
  <si>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</si>
  <si>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</si>
  <si>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</si>
  <si>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</si>
  <si>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</si>
  <si>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</si>
  <si>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</si>
  <si>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</si>
  <si>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</si>
  <si>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</si>
  <si>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</si>
  <si>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</si>
  <si>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</si>
  <si>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</si>
  <si>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</si>
  <si>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</si>
  <si>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</si>
  <si>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</si>
  <si>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</si>
  <si>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</si>
  <si>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</si>
  <si>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</si>
  <si>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</si>
  <si>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</si>
  <si>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</si>
  <si>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</si>
  <si>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</si>
  <si>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</si>
  <si>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</si>
  <si>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</si>
  <si>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</si>
  <si>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</si>
  <si>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</si>
  <si>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</si>
  <si>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</si>
  <si>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</si>
  <si>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</si>
  <si>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</si>
  <si>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</si>
  <si>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</si>
  <si>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</si>
  <si>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</si>
  <si>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</si>
  <si>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</si>
  <si>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</si>
  <si>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</si>
  <si>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</si>
  <si>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</si>
  <si>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</si>
  <si>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</si>
  <si>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</si>
  <si>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</si>
  <si>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</si>
  <si>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</si>
  <si>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</si>
  <si>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</si>
  <si>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</si>
  <si>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</si>
  <si>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</si>
  <si>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</si>
  <si>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</si>
  <si>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</si>
  <si>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</si>
  <si>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</si>
  <si>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</si>
  <si>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</si>
  <si>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</si>
  <si>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</si>
  <si>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</si>
  <si>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</si>
  <si>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</si>
  <si>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</si>
  <si>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</si>
  <si>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</si>
  <si>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</si>
  <si>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</si>
  <si>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</si>
  <si>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</si>
  <si>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</si>
  <si>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</si>
  <si>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</si>
  <si>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</si>
  <si>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</si>
  <si>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</si>
  <si>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</si>
  <si>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</si>
  <si>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</si>
  <si>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</si>
  <si>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</si>
  <si>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</si>
  <si>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</si>
  <si>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</si>
  <si>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</si>
  <si>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</si>
  <si>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</si>
  <si>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</si>
  <si>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</si>
  <si>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</si>
  <si>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</si>
  <si>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</si>
  <si>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</si>
  <si>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</si>
  <si>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</si>
  <si>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</si>
  <si>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</si>
  <si>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</si>
  <si>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</si>
  <si>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</si>
  <si>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</si>
  <si>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</si>
  <si>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</si>
  <si>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</si>
  <si>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</si>
  <si>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</si>
  <si>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</si>
  <si>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</si>
  <si>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</si>
  <si>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</si>
  <si>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</si>
  <si>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</si>
  <si>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</si>
  <si>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</si>
  <si>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</si>
  <si>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</si>
  <si>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</si>
  <si>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</si>
  <si>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</si>
  <si>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</si>
  <si>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</si>
  <si>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</si>
  <si>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</si>
  <si>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</si>
  <si>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</si>
  <si>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</si>
  <si>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</si>
  <si>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</si>
  <si>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</si>
  <si>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</si>
  <si>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</si>
  <si>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</si>
  <si>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</si>
  <si>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</si>
  <si>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</si>
  <si>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</si>
  <si>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</si>
  <si>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</si>
  <si>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</si>
  <si>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</si>
  <si>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</si>
  <si>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</si>
  <si>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</si>
  <si>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</si>
  <si>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</si>
  <si>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</si>
  <si>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</si>
  <si>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</si>
  <si>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</si>
  <si>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</si>
  <si>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</si>
  <si>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</si>
  <si>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</si>
  <si>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</si>
  <si>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</si>
  <si>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</si>
  <si>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</si>
  <si>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</si>
  <si>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</si>
  <si>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</si>
  <si>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</si>
  <si>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</si>
  <si>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</si>
  <si>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</si>
  <si>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</si>
  <si>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</si>
  <si>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</si>
  <si>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</si>
  <si>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</si>
  <si>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</si>
  <si>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</si>
  <si>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</si>
  <si>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</si>
  <si>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</si>
  <si>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</si>
  <si>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</si>
  <si>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</si>
  <si>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</si>
  <si>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</si>
  <si>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</si>
  <si>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</si>
  <si>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</si>
  <si>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</si>
  <si>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</si>
  <si>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</si>
  <si>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</si>
  <si>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</si>
  <si>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</si>
  <si>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</si>
  <si>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</si>
  <si>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</si>
  <si>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</si>
  <si>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</si>
  <si>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</si>
  <si>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</si>
  <si>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</si>
  <si>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</si>
  <si>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</si>
  <si>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</si>
  <si>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</si>
  <si>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</si>
  <si>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</si>
  <si>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</si>
  <si>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</si>
  <si>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</si>
  <si>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</si>
  <si>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</si>
  <si>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</si>
  <si>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</si>
  <si>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</si>
  <si>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</si>
  <si>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</si>
  <si>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</si>
  <si>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</si>
  <si>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</si>
  <si>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</si>
  <si>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</si>
  <si>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</si>
  <si>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</si>
  <si>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</si>
  <si>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</si>
  <si>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</si>
  <si>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</si>
  <si>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</si>
  <si>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</si>
  <si>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</si>
  <si>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</si>
  <si>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</si>
  <si>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</si>
  <si>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</si>
  <si>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</si>
  <si>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</si>
  <si>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</si>
  <si>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</si>
  <si>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</si>
  <si>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</si>
  <si>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</si>
  <si>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</si>
  <si>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</si>
  <si>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</si>
  <si>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</si>
  <si>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</si>
  <si>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</si>
  <si>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</si>
  <si>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</si>
  <si>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</si>
  <si>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</si>
  <si>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</si>
  <si>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</si>
  <si>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</si>
  <si>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</si>
  <si>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</si>
  <si>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</si>
  <si>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</si>
  <si>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</si>
  <si>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</si>
  <si>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</si>
  <si>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</si>
  <si>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</si>
  <si>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</si>
  <si>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</si>
  <si>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</si>
  <si>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</si>
  <si>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</si>
  <si>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</si>
  <si>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</si>
  <si>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</si>
  <si>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</si>
  <si>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</si>
  <si>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</si>
  <si>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</si>
  <si>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</si>
  <si>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</si>
  <si>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</si>
  <si>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</si>
  <si>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</si>
  <si>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</si>
  <si>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</si>
  <si>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</si>
  <si>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</si>
  <si>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</si>
  <si>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</si>
  <si>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</si>
  <si>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</si>
  <si>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</si>
  <si>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</si>
  <si>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</si>
  <si>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</si>
  <si>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</si>
  <si>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</si>
  <si>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</si>
  <si>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</si>
  <si>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</si>
  <si>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</si>
  <si>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</si>
  <si>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</si>
  <si>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</si>
  <si>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</si>
  <si>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</si>
  <si>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</si>
  <si>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</si>
  <si>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</si>
  <si>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</si>
  <si>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</si>
  <si>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</si>
  <si>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</si>
  <si>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</si>
  <si>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</si>
  <si>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</si>
  <si>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</si>
  <si>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</si>
  <si>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</si>
  <si>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</si>
  <si>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</si>
  <si>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</si>
  <si>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</si>
  <si>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</si>
  <si>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</si>
  <si>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</si>
  <si>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</si>
  <si>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</si>
  <si>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</si>
  <si>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</si>
  <si>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</si>
  <si>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</si>
  <si>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</si>
  <si>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</si>
  <si>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</si>
  <si>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</si>
  <si>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</si>
  <si>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</si>
  <si>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</si>
  <si>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</si>
  <si>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</si>
  <si>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</si>
  <si>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</si>
  <si>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</si>
  <si>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</si>
  <si>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</si>
  <si>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</si>
  <si>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</si>
  <si>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</si>
  <si>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</si>
  <si>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</si>
  <si>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</si>
  <si>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</si>
  <si>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</si>
  <si>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</si>
  <si>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</si>
  <si>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</si>
  <si>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</si>
  <si>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</si>
  <si>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</si>
  <si>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</si>
  <si>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</si>
  <si>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</si>
  <si>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</si>
  <si>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</si>
  <si>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</si>
  <si>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</si>
  <si>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</si>
  <si>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</si>
  <si>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</si>
  <si>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</si>
  <si>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</si>
  <si>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</si>
  <si>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</si>
  <si>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</si>
  <si>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</si>
  <si>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</si>
  <si>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</si>
  <si>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</si>
  <si>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</si>
  <si>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</si>
  <si>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</si>
  <si>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</si>
  <si>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</si>
  <si>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</si>
  <si>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</si>
  <si>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</si>
  <si>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</si>
  <si>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</si>
  <si>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</si>
  <si>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</si>
  <si>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</si>
  <si>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</si>
  <si>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</si>
  <si>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</si>
  <si>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</si>
  <si>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</si>
  <si>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</si>
  <si>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</si>
  <si>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</si>
  <si>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</si>
  <si>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</si>
  <si>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</si>
  <si>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</si>
  <si>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</si>
  <si>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</si>
  <si>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</si>
  <si>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</si>
  <si>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</si>
  <si>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</si>
  <si>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</si>
  <si>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</si>
  <si>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</si>
  <si>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</si>
  <si>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</si>
  <si>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</si>
  <si>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</si>
  <si>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</si>
  <si>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</si>
  <si>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</si>
  <si>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</si>
  <si>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</si>
  <si>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</si>
  <si>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</si>
  <si>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</si>
  <si>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</si>
  <si>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</si>
  <si>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</si>
  <si>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</si>
  <si>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</si>
  <si>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</si>
  <si>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</si>
  <si>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</si>
  <si>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</si>
  <si>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</si>
  <si>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</si>
  <si>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</si>
  <si>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</si>
  <si>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</si>
  <si>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</si>
  <si>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</si>
  <si>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</si>
  <si>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</si>
  <si>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</si>
  <si>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</si>
  <si>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</si>
  <si>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</si>
  <si>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</si>
  <si>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</si>
  <si>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</si>
  <si>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</si>
  <si>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</si>
  <si>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</si>
  <si>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</si>
  <si>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</si>
  <si>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</si>
  <si>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</si>
  <si>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</si>
  <si>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</si>
  <si>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</si>
  <si>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</si>
  <si>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</si>
  <si>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</si>
  <si>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</si>
  <si>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</si>
  <si>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</si>
  <si>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</si>
  <si>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</si>
  <si>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</si>
  <si>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</si>
  <si>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</si>
  <si>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</si>
  <si>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</si>
  <si>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</si>
  <si>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</si>
  <si>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</si>
  <si>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</si>
  <si>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</si>
  <si>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</si>
  <si>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</si>
  <si>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</si>
  <si>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</si>
  <si>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</si>
  <si>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</si>
  <si>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</si>
  <si>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</si>
  <si>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</si>
  <si>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</si>
  <si>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</si>
  <si>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</si>
  <si>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</si>
  <si>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</si>
  <si>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</si>
  <si>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</si>
  <si>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</si>
  <si>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</si>
  <si>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</si>
  <si>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</si>
  <si>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</si>
  <si>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</si>
  <si>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</si>
  <si>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</si>
  <si>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</si>
  <si>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</si>
  <si>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</si>
  <si>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</si>
  <si>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</si>
  <si>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</si>
  <si>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</si>
  <si>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</si>
  <si>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</si>
  <si>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</si>
  <si>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</si>
  <si>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</si>
  <si>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</si>
  <si>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</si>
  <si>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</si>
  <si>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</si>
  <si>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</si>
  <si>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</si>
  <si>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</si>
  <si>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</si>
  <si>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</si>
  <si>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</si>
  <si>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</si>
  <si>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</si>
  <si>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</si>
  <si>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</si>
  <si>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</si>
  <si>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</si>
  <si>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</si>
  <si>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</si>
  <si>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</si>
  <si>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</si>
  <si>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</si>
  <si>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</si>
  <si>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</si>
  <si>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</si>
  <si>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</si>
  <si>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</si>
  <si>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</si>
  <si>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</si>
  <si>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</si>
  <si>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</si>
  <si>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</si>
  <si>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</si>
  <si>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</si>
  <si>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</si>
  <si>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</si>
  <si>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</si>
  <si>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</si>
  <si>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</si>
  <si>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</si>
  <si>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</si>
  <si>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</si>
  <si>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</si>
  <si>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</si>
  <si>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</si>
  <si>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</si>
  <si>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</si>
  <si>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</si>
  <si>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</si>
  <si>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</si>
  <si>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</si>
  <si>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</si>
  <si>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</si>
  <si>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</si>
  <si>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</si>
  <si>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</si>
  <si>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</si>
  <si>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</si>
  <si>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</si>
  <si>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</si>
  <si>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</si>
  <si>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</si>
  <si>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</si>
  <si>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</si>
  <si>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</si>
  <si>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</si>
  <si>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</si>
  <si>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</si>
  <si>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</si>
  <si>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</si>
  <si>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</si>
  <si>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</si>
  <si>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</si>
  <si>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</si>
  <si>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</si>
  <si>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</si>
  <si>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</si>
  <si>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</si>
  <si>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</si>
  <si>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</si>
  <si>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</si>
  <si>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</si>
  <si>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</si>
  <si>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</si>
  <si>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</si>
  <si>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</si>
  <si>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</si>
  <si>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</si>
  <si>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</si>
  <si>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</si>
  <si>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</si>
  <si>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</si>
  <si>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</si>
  <si>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</si>
  <si>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</si>
  <si>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</si>
  <si>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</si>
  <si>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</si>
  <si>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</si>
  <si>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</si>
  <si>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</si>
  <si>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</si>
  <si>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</si>
  <si>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</si>
  <si>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</si>
  <si>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</si>
  <si>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</si>
  <si>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</si>
  <si>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</si>
  <si>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</si>
  <si>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</si>
  <si>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</si>
  <si>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</si>
  <si>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</si>
  <si>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</si>
  <si>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</si>
  <si>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</si>
  <si>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</si>
  <si>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</si>
  <si>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</si>
  <si>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</si>
  <si>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</si>
  <si>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</si>
  <si>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</si>
  <si>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</si>
  <si>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</si>
  <si>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</si>
  <si>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</si>
  <si>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</si>
  <si>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</si>
  <si>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</si>
  <si>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</si>
  <si>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</si>
  <si>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</si>
  <si>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</si>
  <si>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</si>
  <si>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</si>
  <si>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</si>
  <si>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</si>
  <si>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</si>
  <si>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</si>
  <si>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</si>
  <si>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</si>
  <si>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</si>
  <si>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</si>
  <si>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</si>
  <si>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</si>
  <si>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</si>
  <si>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</si>
  <si>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</si>
  <si>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</si>
  <si>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</si>
  <si>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</si>
  <si>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</si>
  <si>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</si>
  <si>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</si>
  <si>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</si>
  <si>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</si>
  <si>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</si>
  <si>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</si>
  <si>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</si>
  <si>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</si>
  <si>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</si>
  <si>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</si>
  <si>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</si>
  <si>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</si>
  <si>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</si>
  <si>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</si>
  <si>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</si>
  <si>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</si>
  <si>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</si>
  <si>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</si>
  <si>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</si>
  <si>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</si>
  <si>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</si>
  <si>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</si>
  <si>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</si>
  <si>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</si>
  <si>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</si>
  <si>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</si>
  <si>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</si>
  <si>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</si>
  <si>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</si>
  <si>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</si>
  <si>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</si>
  <si>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</si>
  <si>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</si>
  <si>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</si>
  <si>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</si>
  <si>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</si>
  <si>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</si>
  <si>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</si>
  <si>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</si>
  <si>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</si>
  <si>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</si>
  <si>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</si>
  <si>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</si>
  <si>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</si>
  <si>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</si>
  <si>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</si>
  <si>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</si>
  <si>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</si>
  <si>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</si>
  <si>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</si>
  <si>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</si>
  <si>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</si>
  <si>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</si>
  <si>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</si>
  <si>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</si>
  <si>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</si>
  <si>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</si>
  <si>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</si>
  <si>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</si>
  <si>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</si>
  <si>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</si>
  <si>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</si>
  <si>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</si>
  <si>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</si>
  <si>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</si>
  <si>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</si>
  <si>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</si>
  <si>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</si>
  <si>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</si>
  <si>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</si>
  <si>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</si>
  <si>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</si>
  <si>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</si>
  <si>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</si>
  <si>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</si>
  <si>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</si>
  <si>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</si>
  <si>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</si>
  <si>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</si>
  <si>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</si>
  <si>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</si>
  <si>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</si>
  <si>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</si>
  <si>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</si>
  <si>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</si>
  <si>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</si>
  <si>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</si>
  <si>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</si>
  <si>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</si>
  <si>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</si>
  <si>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</si>
  <si>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</si>
  <si>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</si>
  <si>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</si>
  <si>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</si>
  <si>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</si>
  <si>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</si>
  <si>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</si>
  <si>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</si>
  <si>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</si>
  <si>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</si>
  <si>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</si>
  <si>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</si>
  <si>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</si>
  <si>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</si>
  <si>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</si>
  <si>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</si>
  <si>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</si>
  <si>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</si>
  <si>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</si>
  <si>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</si>
  <si>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</si>
  <si>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</si>
  <si>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</si>
  <si>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</si>
  <si>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</si>
  <si>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</si>
  <si>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</si>
  <si>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</si>
  <si>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</si>
  <si>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</si>
  <si>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</si>
  <si>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</si>
  <si>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</si>
  <si>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</si>
  <si>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</si>
  <si>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</si>
  <si>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</si>
  <si>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</si>
  <si>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</si>
  <si>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</si>
  <si>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</si>
  <si>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</si>
  <si>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</si>
  <si>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</si>
  <si>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</si>
  <si>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</si>
  <si>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</si>
  <si>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</si>
  <si>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</si>
  <si>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</si>
  <si>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</si>
  <si>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</si>
  <si>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</si>
  <si>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</si>
  <si>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</si>
  <si>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</si>
  <si>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</si>
  <si>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</si>
  <si>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</si>
  <si>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</si>
  <si>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</si>
  <si>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</si>
  <si>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</si>
  <si>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</si>
  <si>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</si>
  <si>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</si>
  <si>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</si>
  <si>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</si>
  <si>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</si>
  <si>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</si>
  <si>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</si>
  <si>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</si>
  <si>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</si>
  <si>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</si>
  <si>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</si>
  <si>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</si>
  <si>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</si>
  <si>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</si>
  <si>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</si>
  <si>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</si>
  <si>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</si>
  <si>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</si>
  <si>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</si>
  <si>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</si>
  <si>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</si>
  <si>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</si>
  <si>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</si>
  <si>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</si>
  <si>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</si>
  <si>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</si>
  <si>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</si>
  <si>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</si>
  <si>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</si>
  <si>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</si>
  <si>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</si>
  <si>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</si>
  <si>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</si>
  <si>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</si>
  <si>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</si>
  <si>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</si>
  <si>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</si>
  <si>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</si>
  <si>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</si>
  <si>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</si>
  <si>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</si>
  <si>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</si>
  <si>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</si>
  <si>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</si>
  <si>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</si>
  <si>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</si>
  <si>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</si>
  <si>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</si>
  <si>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</si>
  <si>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</si>
  <si>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</si>
  <si>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</si>
  <si>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</si>
  <si>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</si>
  <si>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</si>
  <si>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</si>
  <si>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</si>
  <si>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</si>
  <si>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</si>
  <si>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</si>
  <si>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</si>
  <si>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</si>
  <si>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</si>
  <si>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</si>
  <si>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</si>
  <si>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</si>
  <si>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</si>
  <si>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</si>
  <si>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</si>
  <si>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</si>
  <si>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</si>
  <si>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</si>
  <si>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</si>
  <si>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</si>
  <si>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</si>
  <si>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</si>
  <si>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</si>
  <si>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</si>
  <si>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</si>
  <si>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</si>
  <si>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</si>
  <si>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</si>
  <si>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</si>
  <si>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</si>
  <si>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</si>
  <si>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</si>
  <si>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</si>
  <si>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</si>
  <si>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</si>
  <si>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</si>
  <si>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</si>
  <si>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</si>
  <si>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</si>
  <si>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</si>
  <si>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</si>
  <si>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</si>
  <si>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</si>
  <si>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</si>
  <si>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</si>
  <si>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</si>
  <si>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</si>
  <si>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</si>
  <si>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</si>
  <si>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</si>
  <si>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</si>
  <si>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</si>
  <si>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</si>
  <si>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</si>
  <si>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</si>
  <si>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</si>
  <si>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</si>
  <si>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</si>
  <si>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</si>
  <si>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</si>
  <si>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</si>
  <si>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</si>
  <si>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</si>
  <si>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</si>
  <si>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</si>
  <si>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</si>
  <si>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</si>
  <si>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</si>
  <si>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</si>
  <si>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</si>
  <si>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</si>
  <si>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</si>
  <si>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</si>
  <si>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</si>
  <si>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</si>
  <si>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</si>
  <si>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</si>
  <si>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</si>
  <si>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</si>
  <si>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</si>
  <si>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</si>
  <si>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</si>
  <si>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</si>
  <si>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</si>
  <si>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</si>
  <si>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</si>
  <si>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</si>
  <si>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</si>
  <si>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</si>
  <si>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</si>
  <si>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</si>
  <si>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</si>
  <si>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</si>
  <si>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</si>
  <si>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</si>
  <si>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</si>
  <si>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</si>
  <si>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</si>
  <si>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</si>
  <si>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</si>
  <si>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</si>
  <si>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</si>
  <si>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</si>
  <si>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</si>
  <si>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</si>
  <si>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</si>
  <si>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</si>
  <si>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</si>
  <si>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</si>
  <si>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</si>
  <si>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</si>
  <si>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</si>
  <si>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</si>
  <si>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</si>
  <si>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</si>
  <si>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</si>
  <si>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</si>
  <si>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</si>
  <si>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</si>
  <si>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</si>
  <si>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</si>
  <si>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</si>
  <si>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</si>
  <si>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</si>
  <si>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</si>
  <si>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</si>
  <si>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</si>
  <si>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</si>
  <si>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</si>
  <si>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</si>
  <si>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</si>
  <si>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</si>
  <si>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</si>
  <si>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</si>
  <si>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</si>
  <si>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</si>
  <si>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</si>
  <si>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</si>
  <si>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</si>
  <si>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</si>
  <si>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</si>
  <si>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</si>
  <si>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</si>
  <si>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</si>
  <si>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</si>
  <si>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</si>
  <si>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</si>
  <si>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</si>
  <si>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</si>
  <si>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</si>
  <si>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</si>
  <si>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</si>
  <si>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</si>
  <si>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</si>
  <si>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</si>
  <si>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</si>
  <si>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</si>
  <si>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</si>
  <si>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</si>
  <si>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</si>
  <si>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</si>
  <si>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</si>
  <si>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</si>
  <si>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</si>
  <si>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</si>
  <si>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</si>
  <si>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</si>
  <si>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</si>
  <si>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</si>
  <si>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</si>
  <si>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</si>
  <si>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</si>
  <si>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</si>
  <si>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</si>
  <si>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</si>
  <si>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</si>
  <si>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</si>
  <si>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</si>
  <si>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</si>
  <si>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</si>
  <si>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</si>
  <si>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</si>
  <si>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</si>
  <si>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</si>
  <si>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</si>
  <si>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</si>
  <si>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</si>
  <si>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</si>
  <si>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</si>
  <si>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</si>
  <si>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</si>
  <si>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</si>
  <si>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</si>
  <si>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</si>
  <si>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</si>
  <si>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</si>
  <si>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</si>
  <si>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</si>
  <si>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</si>
  <si>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</si>
  <si>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</si>
  <si>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</si>
  <si>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</si>
  <si>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</si>
  <si>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</si>
  <si>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</si>
  <si>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</si>
  <si>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</si>
  <si>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</si>
  <si>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</si>
  <si>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</si>
  <si>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</si>
  <si>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</si>
  <si>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</si>
  <si>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</si>
  <si>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</si>
  <si>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</si>
  <si>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</si>
  <si>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</si>
  <si>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</si>
  <si>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</si>
  <si>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</si>
  <si>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</si>
  <si>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</si>
  <si>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</si>
  <si>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</si>
  <si>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</si>
  <si>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</si>
  <si>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</si>
  <si>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</si>
  <si>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</si>
  <si>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</si>
  <si>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</si>
  <si>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</si>
  <si>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</si>
  <si>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</si>
  <si>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</si>
  <si>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</si>
  <si>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</si>
  <si>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</si>
  <si>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</si>
  <si>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</si>
  <si>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</si>
  <si>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</si>
  <si>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</si>
  <si>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</si>
  <si>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</si>
  <si>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</si>
  <si>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</si>
  <si>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</si>
  <si>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</si>
  <si>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</si>
  <si>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</si>
  <si>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</si>
  <si>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</si>
  <si>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</si>
  <si>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</si>
  <si>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</si>
  <si>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</si>
  <si>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</si>
  <si>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</si>
  <si>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</si>
  <si>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</si>
  <si>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</si>
  <si>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</si>
  <si>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</si>
  <si>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</si>
  <si>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</si>
  <si>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</si>
  <si>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</si>
  <si>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</si>
  <si>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</si>
  <si>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</si>
  <si>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</si>
  <si>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</si>
  <si>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</si>
  <si>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</si>
  <si>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</si>
  <si>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</si>
  <si>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</si>
  <si>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</si>
  <si>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</si>
  <si>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</si>
  <si>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</si>
  <si>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</si>
  <si>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</si>
  <si>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</si>
  <si>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</si>
  <si>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</si>
  <si>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</si>
  <si>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</si>
  <si>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</si>
  <si>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</si>
  <si>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</si>
  <si>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</si>
  <si>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</si>
  <si>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</si>
  <si>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</si>
  <si>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</si>
  <si>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</si>
  <si>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</si>
  <si>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</si>
  <si>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</si>
  <si>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</si>
  <si>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</si>
  <si>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</si>
  <si>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</si>
  <si>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</si>
  <si>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</si>
  <si>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</si>
  <si>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</si>
  <si>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</si>
  <si>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</si>
  <si>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</si>
  <si>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</si>
  <si>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</si>
  <si>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</si>
  <si>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</si>
  <si>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</si>
  <si>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</si>
  <si>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</si>
  <si>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</si>
  <si>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</si>
  <si>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</si>
  <si>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</si>
  <si>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</si>
  <si>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</si>
  <si>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</si>
  <si>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</si>
  <si>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</si>
  <si>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</si>
  <si>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</si>
  <si>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</si>
  <si>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</si>
  <si>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</si>
  <si>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</si>
  <si>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</si>
  <si>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</si>
  <si>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</si>
  <si>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</si>
  <si>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</si>
  <si>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</si>
  <si>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</si>
  <si>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</si>
  <si>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</si>
  <si>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</si>
  <si>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</si>
  <si>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</si>
  <si>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</si>
  <si>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</si>
  <si>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</si>
  <si>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</si>
  <si>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</si>
  <si>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</si>
  <si>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</si>
  <si>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</si>
  <si>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</si>
  <si>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</si>
  <si>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</si>
  <si>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</si>
  <si>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</si>
  <si>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</si>
  <si>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</si>
  <si>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</si>
  <si>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</si>
  <si>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</si>
  <si>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</si>
  <si>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</si>
  <si>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</si>
  <si>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</si>
  <si>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</si>
  <si>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</si>
  <si>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</si>
  <si>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</si>
  <si>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</si>
  <si>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</si>
  <si>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</si>
  <si>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</si>
  <si>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</si>
  <si>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</si>
  <si>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</si>
  <si>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</si>
  <si>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</si>
  <si>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</si>
  <si>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</si>
  <si>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</si>
  <si>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</si>
  <si>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</si>
  <si>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</si>
  <si>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</si>
  <si>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</si>
  <si>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</si>
  <si>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</si>
  <si>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</si>
  <si>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</si>
  <si>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</si>
  <si>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</si>
  <si>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</si>
  <si>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</si>
  <si>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</si>
  <si>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</si>
  <si>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</si>
  <si>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</si>
  <si>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</si>
  <si>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</si>
  <si>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</si>
  <si>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</si>
  <si>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</si>
  <si>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</si>
  <si>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</si>
  <si>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</si>
  <si>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</si>
  <si>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</si>
  <si>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</si>
  <si>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</si>
  <si>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</si>
  <si>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</si>
  <si>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</si>
  <si>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</si>
  <si>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</si>
  <si>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</si>
  <si>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</si>
  <si>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</si>
  <si>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</si>
  <si>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</si>
  <si>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</si>
  <si>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</si>
  <si>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</si>
  <si>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</si>
  <si>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</si>
  <si>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</si>
  <si>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</si>
  <si>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</si>
  <si>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</si>
  <si>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</si>
  <si>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</si>
  <si>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</si>
  <si>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</si>
  <si>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</si>
  <si>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</si>
  <si>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</si>
  <si>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</si>
  <si>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</si>
  <si>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</si>
  <si>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</si>
  <si>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</si>
  <si>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</si>
  <si>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</si>
  <si>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</si>
  <si>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</si>
  <si>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</si>
  <si>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</si>
  <si>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</si>
  <si>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</si>
  <si>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</si>
  <si>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</si>
  <si>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</si>
  <si>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</si>
  <si>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</si>
  <si>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</si>
  <si>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</si>
  <si>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</si>
  <si>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</si>
  <si>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</si>
  <si>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</si>
  <si>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</si>
  <si>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</si>
  <si>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</si>
  <si>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</si>
  <si>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</si>
  <si>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</si>
  <si>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</si>
  <si>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</si>
  <si>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</si>
  <si>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</si>
  <si>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</si>
  <si>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</si>
  <si>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</si>
  <si>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</si>
  <si>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</si>
  <si>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</si>
  <si>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</si>
  <si>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</si>
  <si>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</si>
  <si>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</si>
  <si>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</si>
  <si>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</si>
  <si>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</si>
  <si>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</si>
  <si>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</si>
  <si>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</si>
  <si>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</si>
  <si>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</si>
  <si>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</si>
  <si>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</si>
  <si>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</si>
  <si>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</si>
  <si>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</si>
  <si>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</si>
  <si>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</si>
  <si>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</si>
  <si>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</si>
  <si>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</si>
  <si>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</si>
  <si>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</si>
  <si>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</si>
  <si>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</si>
  <si>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</si>
  <si>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</si>
  <si>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</si>
  <si>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</si>
  <si>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</si>
  <si>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</si>
  <si>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</si>
  <si>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</si>
  <si>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</si>
  <si>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</si>
  <si>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</si>
  <si>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</si>
  <si>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</si>
  <si>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</si>
  <si>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</si>
  <si>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</si>
  <si>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</si>
  <si>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</si>
  <si>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</si>
  <si>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</si>
  <si>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</si>
  <si>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</si>
  <si>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</si>
  <si>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</si>
  <si>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</si>
  <si>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</si>
  <si>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</si>
  <si>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</si>
  <si>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</si>
  <si>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</si>
  <si>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</si>
  <si>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</si>
  <si>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</si>
  <si>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</si>
  <si>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</si>
  <si>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</si>
  <si>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</si>
  <si>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</si>
  <si>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</si>
  <si>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</si>
  <si>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</si>
  <si>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</si>
  <si>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</si>
  <si>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</si>
  <si>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</si>
  <si>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</si>
  <si>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</si>
  <si>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</si>
  <si>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</si>
  <si>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</si>
  <si>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</si>
  <si>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</si>
  <si>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</si>
  <si>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</si>
  <si>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</si>
  <si>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</si>
  <si>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</si>
  <si>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</si>
  <si>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</si>
  <si>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</si>
  <si>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</si>
  <si>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</si>
  <si>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</si>
  <si>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</si>
  <si>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</si>
  <si>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</si>
  <si>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</si>
  <si>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</si>
  <si>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</si>
  <si>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</si>
  <si>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</si>
  <si>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</si>
  <si>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</si>
  <si>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</si>
  <si>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</si>
  <si>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</si>
  <si>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</si>
  <si>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</si>
  <si>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</si>
  <si>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</si>
  <si>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</si>
  <si>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</si>
  <si>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</si>
  <si>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</si>
  <si>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</si>
  <si>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</si>
  <si>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</si>
  <si>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</si>
  <si>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</si>
  <si>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</si>
  <si>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</si>
  <si>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</si>
  <si>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</si>
  <si>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</si>
  <si>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</si>
  <si>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</si>
  <si>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</si>
  <si>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</si>
  <si>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</si>
  <si>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</si>
  <si>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</si>
  <si>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</si>
  <si>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</si>
  <si>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</si>
  <si>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</si>
  <si>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</si>
  <si>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</si>
  <si>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</si>
  <si>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</si>
  <si>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</si>
  <si>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</si>
  <si>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</si>
  <si>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</si>
  <si>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</si>
  <si>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</si>
  <si>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</si>
  <si>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</si>
  <si>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</si>
  <si>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</si>
  <si>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</si>
  <si>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</si>
  <si>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</si>
  <si>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</si>
  <si>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</si>
  <si>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</si>
  <si>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</si>
  <si>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</si>
  <si>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</si>
  <si>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</si>
  <si>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</si>
  <si>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</si>
  <si>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</si>
  <si>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</si>
  <si>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</si>
  <si>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</si>
  <si>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</si>
  <si>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</si>
  <si>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</si>
  <si>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</si>
  <si>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</si>
  <si>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</si>
  <si>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</si>
  <si>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</si>
  <si>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</si>
  <si>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</si>
  <si>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</si>
  <si>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</si>
  <si>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</si>
  <si>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</si>
  <si>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</si>
  <si>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</si>
  <si>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</si>
  <si>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</si>
  <si>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</si>
  <si>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</si>
  <si>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</si>
  <si>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</si>
  <si>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</si>
  <si>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</si>
  <si>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</si>
  <si>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</si>
  <si>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</si>
  <si>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</si>
  <si>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</si>
  <si>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</si>
  <si>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</si>
  <si>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</si>
  <si>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</si>
  <si>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</si>
  <si>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</si>
  <si>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</si>
  <si>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</si>
  <si>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</si>
  <si>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</si>
  <si>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</si>
  <si>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</si>
  <si>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</si>
  <si>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</si>
  <si>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</si>
  <si>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</si>
  <si>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</si>
  <si>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</si>
  <si>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</si>
  <si>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</si>
  <si>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</si>
  <si>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</si>
  <si>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</si>
  <si>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</si>
  <si>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</si>
  <si>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</si>
  <si>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</si>
  <si>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</si>
  <si>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</si>
  <si>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</si>
  <si>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</si>
  <si>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</si>
  <si>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</si>
  <si>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</si>
  <si>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</si>
  <si>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</si>
  <si>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</si>
  <si>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</si>
  <si>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</si>
  <si>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</si>
  <si>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</si>
  <si>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</si>
  <si>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</si>
  <si>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</si>
  <si>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</si>
  <si>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</si>
  <si>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</si>
  <si>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</si>
  <si>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</si>
  <si>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</si>
  <si>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</si>
  <si>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</si>
  <si>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</si>
  <si>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</si>
  <si>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</si>
  <si>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</si>
  <si>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</si>
  <si>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</si>
  <si>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</si>
  <si>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</si>
  <si>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</si>
  <si>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</si>
  <si>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</si>
  <si>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</si>
  <si>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</si>
  <si>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</si>
  <si>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</si>
  <si>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</si>
  <si>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</si>
  <si>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</si>
  <si>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</si>
  <si>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</si>
  <si>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</si>
  <si>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</si>
  <si>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</si>
  <si>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</si>
  <si>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</si>
  <si>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</si>
  <si>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</si>
  <si>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</si>
  <si>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</si>
  <si>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</si>
  <si>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</si>
  <si>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</si>
  <si>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</si>
  <si>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</si>
  <si>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</si>
  <si>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</si>
  <si>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</si>
  <si>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</si>
  <si>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</si>
  <si>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</si>
  <si>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</si>
  <si>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</si>
  <si>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</si>
  <si>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</si>
  <si>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</si>
  <si>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</si>
  <si>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</si>
  <si>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</si>
  <si>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</si>
  <si>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</si>
  <si>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</si>
  <si>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</si>
  <si>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</si>
  <si>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</si>
  <si>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</si>
  <si>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</si>
  <si>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</si>
  <si>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</si>
  <si>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</si>
  <si>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</si>
  <si>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</si>
  <si>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</si>
  <si>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</si>
  <si>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</si>
  <si>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</si>
  <si>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</si>
  <si>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</si>
  <si>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</si>
  <si>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</si>
  <si>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</si>
  <si>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</si>
  <si>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</si>
  <si>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</si>
  <si>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</si>
  <si>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</si>
  <si>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</si>
  <si>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</si>
  <si>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</si>
  <si>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</si>
  <si>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</si>
  <si>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</si>
  <si>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</si>
  <si>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</si>
  <si>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</si>
  <si>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</si>
  <si>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</si>
  <si>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</si>
  <si>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</si>
  <si>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</si>
  <si>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</si>
  <si>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</si>
  <si>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</si>
  <si>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</si>
  <si>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</si>
  <si>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</si>
  <si>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</si>
  <si>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</si>
  <si>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</si>
  <si>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</si>
  <si>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</si>
  <si>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</si>
  <si>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</si>
  <si>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</si>
  <si>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</si>
  <si>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</si>
  <si>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</si>
  <si>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</si>
  <si>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</si>
  <si>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</si>
  <si>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</si>
  <si>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</si>
  <si>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</si>
  <si>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</si>
  <si>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</si>
  <si>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</si>
  <si>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</si>
  <si>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</si>
  <si>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</si>
  <si>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</si>
  <si>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</si>
  <si>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</si>
  <si>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</si>
  <si>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</si>
  <si>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</si>
  <si>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</si>
  <si>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</si>
  <si>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</si>
  <si>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</si>
  <si>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</si>
  <si>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</si>
  <si>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</si>
  <si>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</si>
  <si>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</si>
  <si>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</si>
  <si>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</si>
  <si>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</si>
  <si>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</si>
  <si>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</si>
  <si>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</si>
  <si>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</si>
  <si>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</si>
  <si>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</si>
  <si>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</si>
  <si>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</si>
  <si>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</si>
  <si>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</si>
  <si>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</si>
  <si>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</si>
  <si>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</si>
  <si>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</si>
  <si>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</si>
  <si>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</si>
  <si>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</si>
  <si>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</si>
  <si>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</si>
  <si>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</si>
  <si>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</si>
  <si>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</si>
  <si>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</si>
  <si>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</si>
  <si>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</si>
  <si>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</si>
  <si>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</si>
  <si>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</si>
  <si>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</si>
  <si>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</si>
  <si>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</si>
  <si>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</si>
  <si>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</si>
  <si>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</si>
  <si>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</si>
  <si>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</si>
  <si>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</si>
  <si>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</si>
  <si>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</si>
  <si>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</si>
  <si>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</si>
  <si>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</si>
  <si>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</si>
  <si>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</si>
  <si>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</si>
  <si>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</si>
  <si>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</si>
  <si>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</si>
  <si>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</si>
  <si>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</si>
  <si>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</si>
  <si>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</si>
  <si>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</si>
  <si>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</si>
  <si>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</si>
  <si>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</si>
  <si>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</si>
  <si>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</si>
  <si>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</si>
  <si>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</si>
  <si>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</si>
  <si>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</si>
  <si>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</si>
  <si>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</si>
  <si>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</si>
  <si>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</si>
  <si>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</si>
  <si>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</si>
  <si>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</si>
  <si>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</si>
  <si>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</si>
  <si>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</si>
  <si>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</si>
  <si>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</si>
  <si>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</si>
  <si>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</si>
  <si>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</si>
  <si>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</si>
  <si>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</si>
  <si>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</si>
  <si>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</si>
  <si>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</si>
  <si>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</si>
  <si>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</si>
  <si>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</si>
  <si>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</si>
  <si>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</si>
  <si>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</si>
  <si>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</si>
  <si>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</si>
  <si>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</si>
  <si>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</si>
  <si>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</si>
  <si>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</si>
  <si>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</si>
  <si>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</si>
  <si>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</si>
  <si>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</si>
  <si>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</si>
  <si>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</si>
  <si>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</si>
  <si>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</si>
  <si>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</si>
  <si>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</si>
  <si>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</si>
  <si>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</si>
  <si>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</si>
  <si>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</si>
  <si>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</si>
  <si>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</si>
  <si>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</si>
  <si>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</si>
  <si>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</si>
  <si>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</si>
  <si>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</si>
  <si>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</si>
  <si>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</si>
  <si>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</si>
  <si>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</si>
  <si>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</si>
  <si>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</si>
  <si>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</si>
  <si>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</si>
  <si>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</si>
  <si>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</si>
  <si>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</si>
  <si>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</si>
  <si>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</si>
  <si>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</si>
  <si>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</si>
  <si>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</si>
  <si>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</si>
  <si>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</si>
  <si>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</si>
  <si>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</si>
  <si>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</si>
  <si>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</si>
  <si>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</si>
  <si>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</si>
  <si>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</si>
  <si>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</si>
  <si>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</si>
  <si>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</si>
  <si>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</si>
  <si>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</si>
  <si>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</si>
  <si>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</si>
  <si>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</si>
  <si>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</si>
  <si>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</si>
  <si>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</si>
  <si>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</si>
  <si>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</si>
  <si>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</si>
  <si>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</si>
  <si>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</si>
  <si>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</si>
  <si>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</si>
  <si>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</si>
  <si>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</si>
  <si>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</si>
  <si>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</si>
  <si>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</si>
  <si>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</si>
  <si>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</si>
  <si>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</si>
  <si>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</si>
  <si>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</si>
  <si>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</si>
  <si>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</si>
  <si>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</si>
  <si>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</si>
  <si>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</si>
  <si>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</si>
  <si>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</si>
  <si>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</si>
  <si>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</si>
  <si>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</si>
  <si>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</si>
  <si>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</si>
  <si>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</si>
  <si>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</si>
  <si>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</si>
  <si>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</si>
  <si>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</si>
  <si>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</si>
  <si>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</si>
  <si>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</si>
  <si>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</si>
  <si>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</si>
  <si>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</si>
  <si>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</si>
  <si>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</si>
  <si>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</si>
  <si>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</si>
  <si>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</si>
  <si>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</si>
  <si>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</si>
  <si>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</si>
  <si>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</si>
  <si>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</si>
  <si>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</si>
  <si>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</si>
  <si>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</si>
  <si>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</si>
  <si>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</si>
  <si>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</si>
  <si>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</si>
  <si>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</si>
  <si>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</si>
  <si>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</si>
  <si>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</si>
  <si>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</si>
  <si>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</si>
  <si>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</si>
  <si>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</si>
  <si>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</si>
  <si>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</si>
  <si>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</si>
  <si>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</si>
  <si>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</si>
  <si>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</si>
  <si>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</si>
  <si>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</si>
  <si>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</si>
  <si>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</si>
  <si>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</si>
  <si>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</si>
  <si>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</si>
  <si>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</si>
  <si>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</si>
  <si>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</si>
  <si>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</si>
  <si>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</si>
  <si>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</si>
  <si>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</si>
  <si>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</si>
  <si>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</si>
  <si>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</si>
  <si>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</si>
  <si>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</si>
  <si>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</si>
  <si>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</si>
  <si>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</si>
  <si>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</si>
  <si>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</si>
  <si>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</si>
  <si>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</si>
  <si>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</si>
  <si>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</si>
  <si>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</si>
  <si>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</si>
  <si>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</si>
  <si>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</si>
  <si>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</si>
  <si>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</si>
  <si>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</si>
  <si>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</si>
  <si>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</si>
  <si>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</si>
  <si>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</si>
  <si>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</si>
  <si>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</si>
  <si>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</si>
  <si>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</si>
  <si>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</si>
  <si>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</si>
  <si>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</si>
  <si>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</si>
  <si>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</si>
  <si>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</si>
  <si>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</si>
  <si>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</si>
  <si>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</si>
  <si>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</si>
  <si>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</si>
  <si>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</si>
  <si>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</si>
  <si>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</si>
  <si>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</si>
  <si>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</si>
  <si>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</si>
  <si>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</si>
  <si>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</si>
  <si>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</si>
  <si>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</si>
  <si>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</si>
  <si>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</si>
  <si>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</si>
  <si>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</si>
  <si>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</si>
  <si>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</si>
  <si>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</si>
  <si>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</si>
  <si>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</si>
  <si>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</si>
  <si>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</si>
  <si>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</si>
  <si>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</si>
  <si>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</si>
  <si>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</si>
  <si>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</si>
  <si>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</si>
  <si>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</si>
  <si>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</si>
  <si>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</si>
  <si>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</si>
  <si>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</si>
  <si>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</si>
  <si>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</si>
  <si>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</si>
  <si>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</si>
  <si>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</si>
  <si>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</si>
  <si>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</si>
  <si>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</si>
  <si>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</si>
  <si>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</si>
  <si>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</si>
  <si>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</si>
  <si>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</si>
  <si>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</si>
  <si>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</si>
  <si>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</si>
  <si>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</si>
  <si>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</si>
  <si>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</si>
  <si>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</si>
  <si>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</si>
  <si>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</si>
  <si>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</si>
  <si>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</si>
  <si>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</si>
  <si>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</si>
  <si>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</si>
  <si>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</si>
  <si>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</si>
  <si>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</si>
  <si>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</si>
  <si>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</si>
  <si>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</si>
  <si>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</si>
  <si>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</si>
  <si>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</si>
  <si>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</si>
  <si>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</si>
  <si>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</si>
  <si>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</si>
  <si>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</si>
  <si>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</si>
  <si>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</si>
  <si>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</si>
  <si>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</si>
  <si>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</si>
  <si>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</si>
  <si>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</si>
  <si>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</si>
  <si>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</si>
  <si>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</si>
  <si>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</si>
  <si>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</si>
  <si>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</si>
  <si>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</si>
  <si>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</si>
  <si>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</si>
  <si>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</si>
  <si>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</si>
  <si>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</si>
  <si>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</si>
  <si>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</si>
  <si>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</si>
  <si>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</si>
  <si>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</si>
  <si>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</si>
  <si>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</si>
  <si>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</si>
  <si>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</si>
  <si>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</si>
  <si>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</si>
  <si>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</si>
  <si>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</si>
  <si>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</si>
  <si>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</si>
  <si>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</si>
  <si>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</si>
  <si>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</si>
  <si>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</si>
  <si>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</si>
  <si>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</si>
  <si>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</si>
  <si>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</si>
  <si>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</si>
  <si>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</si>
  <si>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</si>
  <si>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</si>
  <si>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</si>
  <si>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</si>
  <si>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</si>
  <si>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</si>
  <si>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</si>
  <si>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</si>
  <si>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</si>
  <si>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</si>
  <si>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</si>
  <si>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</si>
  <si>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</si>
  <si>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</si>
  <si>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</si>
  <si>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</si>
  <si>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</si>
  <si>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</si>
  <si>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</si>
  <si>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</si>
  <si>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</si>
  <si>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</si>
  <si>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</si>
  <si>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</si>
  <si>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</si>
  <si>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</si>
  <si>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</si>
  <si>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</si>
  <si>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</si>
  <si>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</si>
  <si>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</si>
  <si>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</si>
  <si>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</si>
  <si>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</si>
  <si>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</si>
  <si>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</si>
  <si>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</si>
  <si>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</si>
  <si>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</si>
  <si>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</si>
  <si>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</si>
  <si>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</si>
  <si>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</si>
  <si>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</si>
  <si>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</si>
  <si>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</si>
  <si>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</si>
  <si>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</si>
  <si>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</si>
  <si>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</si>
  <si>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</si>
  <si>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</si>
  <si>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</si>
  <si>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</si>
  <si>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</si>
  <si>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</si>
  <si>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</si>
  <si>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</si>
  <si>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</si>
  <si>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</si>
  <si>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</si>
  <si>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</si>
  <si>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</si>
  <si>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</si>
  <si>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</si>
  <si>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</si>
  <si>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</si>
  <si>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</si>
  <si>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</si>
  <si>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</si>
  <si>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</si>
  <si>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</si>
  <si>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</si>
  <si>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</si>
  <si>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</si>
  <si>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</si>
  <si>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</si>
  <si>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</si>
  <si>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</si>
  <si>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</si>
  <si>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</si>
  <si>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</si>
  <si>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</si>
  <si>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</si>
  <si>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</si>
  <si>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</si>
  <si>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</si>
  <si>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</si>
  <si>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</si>
  <si>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</si>
  <si>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</si>
  <si>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</si>
  <si>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</si>
  <si>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</si>
  <si>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</si>
  <si>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</si>
  <si>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</si>
  <si>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</si>
  <si>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</si>
  <si>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</si>
  <si>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</si>
  <si>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</si>
  <si>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</si>
  <si>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</si>
  <si>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</si>
  <si>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</si>
  <si>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</si>
  <si>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</si>
  <si>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</si>
  <si>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</si>
  <si>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</si>
  <si>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</si>
  <si>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</si>
  <si>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</si>
  <si>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</si>
  <si>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</si>
  <si>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</si>
  <si>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</si>
  <si>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</si>
  <si>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</si>
  <si>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</si>
  <si>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</si>
  <si>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</si>
  <si>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</si>
  <si>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</si>
  <si>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</si>
  <si>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</si>
  <si>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</si>
  <si>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</si>
  <si>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</si>
  <si>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</si>
  <si>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</si>
  <si>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</si>
  <si>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</si>
  <si>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</si>
  <si>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</si>
  <si>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</si>
  <si>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</si>
  <si>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</si>
  <si>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</si>
  <si>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</si>
  <si>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</si>
  <si>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</si>
  <si>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</si>
  <si>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</si>
  <si>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</si>
  <si>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</si>
  <si>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</si>
  <si>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</si>
  <si>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</si>
  <si>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</si>
  <si>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</si>
  <si>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</si>
  <si>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</si>
  <si>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</si>
  <si>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</si>
  <si>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</si>
  <si>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</si>
  <si>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</si>
  <si>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</si>
  <si>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</si>
  <si>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</si>
  <si>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</si>
  <si>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</si>
  <si>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</si>
  <si>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</si>
  <si>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</si>
  <si>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</si>
  <si>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</si>
  <si>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</si>
  <si>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</si>
  <si>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</si>
  <si>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</si>
  <si>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</si>
  <si>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</si>
  <si>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</si>
  <si>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</si>
  <si>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</si>
  <si>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</si>
  <si>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</si>
  <si>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</si>
  <si>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</si>
  <si>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</si>
  <si>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</si>
  <si>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</si>
  <si>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</si>
  <si>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</si>
  <si>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</si>
  <si>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</si>
  <si>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</si>
  <si>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</si>
  <si>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</si>
  <si>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</si>
  <si>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</si>
  <si>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</si>
  <si>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</si>
  <si>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</si>
  <si>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</si>
  <si>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</si>
  <si>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</si>
  <si>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</si>
  <si>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</si>
  <si>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</si>
  <si>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</si>
  <si>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</si>
  <si>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</si>
  <si>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</si>
  <si>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</si>
  <si>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</si>
  <si>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</si>
  <si>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</si>
  <si>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</si>
  <si>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</si>
  <si>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</si>
  <si>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</si>
  <si>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</si>
  <si>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</si>
  <si>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</si>
  <si>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</si>
  <si>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</si>
  <si>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</si>
  <si>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</si>
  <si>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</si>
  <si>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</si>
  <si>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</si>
  <si>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</si>
  <si>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</si>
  <si>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</si>
  <si>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</si>
  <si>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</si>
  <si>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</si>
  <si>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</si>
  <si>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</si>
  <si>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</si>
  <si>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</si>
  <si>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</si>
  <si>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</si>
  <si>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</si>
  <si>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</si>
  <si>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</si>
  <si>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</si>
  <si>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</si>
  <si>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</si>
  <si>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</si>
  <si>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</si>
  <si>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</si>
  <si>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</si>
  <si>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</si>
  <si>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</si>
  <si>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</si>
  <si>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</si>
  <si>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</si>
  <si>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</si>
  <si>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</si>
  <si>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</si>
  <si>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</si>
  <si>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</si>
  <si>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</si>
  <si>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</si>
  <si>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</si>
  <si>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</si>
  <si>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</si>
  <si>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</si>
  <si>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</si>
  <si>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</si>
  <si>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</si>
  <si>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</si>
  <si>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</si>
  <si>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</si>
  <si>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</si>
  <si>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</si>
  <si>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</si>
  <si>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</si>
  <si>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</si>
  <si>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</si>
  <si>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</si>
  <si>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</si>
  <si>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</si>
  <si>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</si>
  <si>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</si>
  <si>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</si>
  <si>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</si>
  <si>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</si>
  <si>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</si>
  <si>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</si>
  <si>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</si>
  <si>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</si>
  <si>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</si>
  <si>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</si>
  <si>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</si>
  <si>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</si>
  <si>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</si>
  <si>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</si>
  <si>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</si>
  <si>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</si>
  <si>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</si>
  <si>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</si>
  <si>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</si>
  <si>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</si>
  <si>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</si>
  <si>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</si>
  <si>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</si>
  <si>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</si>
  <si>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</si>
  <si>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</si>
  <si>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</si>
  <si>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</si>
  <si>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</si>
  <si>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</si>
  <si>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</si>
  <si>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</si>
  <si>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</si>
  <si>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</si>
  <si>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</si>
  <si>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</si>
  <si>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</si>
  <si>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</si>
  <si>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</si>
  <si>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</si>
  <si>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</si>
  <si>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</si>
  <si>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</si>
  <si>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</si>
  <si>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</si>
  <si>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</si>
  <si>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</si>
  <si>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</si>
  <si>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</si>
  <si>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</si>
  <si>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</si>
  <si>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</si>
  <si>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</si>
  <si>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</si>
  <si>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</si>
  <si>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</si>
  <si>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</si>
  <si>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</si>
  <si>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</si>
  <si>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</si>
  <si>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</si>
  <si>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</si>
  <si>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</si>
  <si>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</si>
  <si>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</si>
  <si>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</si>
  <si>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</si>
  <si>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</si>
  <si>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</si>
  <si>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</si>
  <si>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</si>
  <si>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</si>
  <si>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</si>
  <si>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</si>
  <si>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</si>
  <si>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</si>
  <si>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</si>
  <si>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</si>
  <si>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</si>
  <si>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</si>
  <si>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</si>
  <si>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</si>
  <si>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</si>
  <si>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</si>
  <si>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</si>
  <si>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</si>
  <si>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</si>
  <si>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</si>
  <si>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</si>
  <si>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</si>
  <si>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</si>
  <si>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</si>
  <si>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</si>
  <si>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</si>
  <si>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</si>
  <si>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</si>
  <si>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</si>
  <si>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</si>
  <si>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</si>
  <si>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</si>
  <si>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</si>
  <si>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</si>
  <si>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</si>
  <si>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</si>
  <si>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</si>
  <si>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</si>
  <si>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</si>
  <si>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</si>
  <si>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</si>
  <si>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</si>
  <si>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</si>
  <si>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</si>
  <si>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</si>
  <si>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</si>
  <si>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</si>
  <si>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</si>
  <si>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</si>
  <si>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</si>
  <si>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</si>
  <si>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</si>
  <si>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</si>
  <si>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</si>
  <si>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</si>
  <si>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</si>
  <si>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</si>
  <si>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</si>
  <si>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</si>
  <si>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</si>
  <si>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</si>
  <si>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</si>
  <si>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</si>
  <si>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</si>
  <si>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</si>
  <si>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</si>
  <si>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</si>
  <si>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</si>
  <si>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</si>
  <si>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</si>
  <si>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</si>
  <si>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</si>
  <si>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</si>
  <si>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</si>
  <si>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</si>
  <si>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</si>
  <si>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</si>
  <si>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</si>
  <si>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</si>
  <si>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</si>
  <si>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</si>
  <si>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</si>
  <si>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</si>
  <si>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</si>
  <si>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</si>
  <si>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</si>
  <si>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</si>
  <si>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</si>
  <si>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</si>
  <si>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</si>
  <si>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</si>
  <si>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</si>
  <si>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</si>
  <si>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</si>
  <si>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</si>
  <si>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</si>
  <si>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</si>
  <si>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</si>
  <si>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</si>
  <si>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</si>
  <si>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</si>
  <si>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</si>
  <si>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</si>
  <si>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</si>
  <si>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</si>
  <si>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</si>
  <si>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</si>
  <si>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</si>
  <si>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</si>
  <si>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</si>
  <si>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</si>
  <si>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</si>
  <si>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</si>
  <si>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</si>
  <si>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</si>
  <si>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</si>
  <si>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</si>
  <si>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</si>
  <si>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</si>
  <si>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</si>
  <si>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</si>
  <si>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</si>
  <si>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</si>
  <si>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</si>
  <si>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</si>
  <si>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</si>
  <si>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</si>
  <si>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</si>
  <si>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</si>
  <si>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</si>
  <si>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</si>
  <si>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</si>
  <si>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</si>
  <si>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</si>
  <si>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</si>
  <si>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</si>
  <si>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</si>
  <si>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</si>
  <si>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</si>
  <si>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</si>
  <si>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</si>
  <si>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</si>
  <si>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</si>
  <si>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</si>
  <si>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</si>
  <si>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</si>
  <si>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</si>
  <si>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</si>
  <si>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</si>
  <si>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</si>
  <si>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</si>
  <si>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</si>
  <si>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</si>
  <si>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</si>
  <si>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</si>
  <si>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</si>
  <si>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</si>
  <si>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</si>
  <si>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</si>
  <si>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</si>
  <si>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</si>
  <si>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</si>
  <si>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</si>
  <si>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</si>
  <si>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</si>
  <si>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</si>
  <si>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</si>
  <si>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</si>
  <si>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</si>
  <si>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</si>
  <si>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</si>
  <si>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</si>
  <si>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</si>
  <si>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</si>
  <si>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</si>
  <si>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</si>
  <si>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</si>
  <si>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</si>
  <si>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</si>
  <si>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</si>
  <si>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</si>
  <si>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</si>
  <si>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</si>
  <si>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</si>
  <si>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</si>
  <si>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</si>
  <si>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</si>
  <si>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</si>
  <si>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</si>
  <si>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</si>
  <si>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</si>
  <si>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</si>
  <si>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</si>
  <si>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</si>
  <si>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</si>
  <si>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</si>
  <si>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</si>
  <si>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</si>
  <si>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</si>
  <si>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</si>
  <si>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</si>
  <si>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</si>
  <si>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</si>
  <si>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</si>
  <si>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</si>
  <si>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</si>
  <si>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</si>
  <si>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</si>
  <si>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</si>
  <si>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</si>
  <si>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</si>
  <si>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</si>
  <si>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</si>
  <si>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</si>
  <si>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</si>
  <si>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</si>
  <si>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</si>
  <si>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</si>
  <si>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</si>
  <si>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</si>
  <si>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</si>
  <si>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</si>
  <si>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</si>
  <si>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</si>
  <si>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</si>
  <si>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</si>
  <si>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</si>
  <si>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</si>
  <si>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</si>
  <si>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</si>
  <si>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</si>
  <si>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</si>
  <si>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</si>
  <si>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</si>
  <si>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</si>
  <si>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</si>
  <si>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</si>
  <si>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</si>
  <si>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</si>
  <si>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</si>
  <si>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</si>
  <si>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</si>
  <si>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</si>
  <si>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</si>
  <si>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</si>
  <si>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</si>
  <si>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</si>
  <si>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</si>
  <si>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</si>
  <si>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</si>
  <si>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</si>
  <si>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</si>
  <si>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</si>
  <si>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</si>
  <si>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</si>
  <si>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</si>
  <si>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</si>
  <si>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</si>
  <si>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</si>
  <si>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</si>
  <si>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</si>
  <si>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</si>
  <si>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</si>
  <si>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</si>
  <si>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</si>
  <si>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</si>
  <si>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</si>
  <si>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</si>
  <si>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</si>
  <si>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</si>
  <si>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</si>
  <si>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</si>
  <si>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</si>
  <si>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</si>
  <si>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</si>
  <si>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</si>
  <si>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</si>
  <si>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</si>
  <si>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</si>
  <si>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</si>
  <si>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</si>
  <si>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</si>
  <si>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</si>
  <si>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</si>
  <si>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</si>
  <si>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</si>
  <si>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</si>
  <si>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</si>
  <si>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</si>
  <si>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</si>
  <si>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</si>
  <si>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</si>
  <si>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</si>
  <si>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</si>
  <si>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</si>
  <si>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</si>
  <si>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</si>
  <si>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</si>
  <si>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</si>
  <si>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</si>
  <si>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</si>
  <si>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</si>
  <si>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</si>
  <si>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</si>
  <si>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</si>
  <si>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</si>
  <si>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</si>
  <si>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</si>
  <si>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</si>
  <si>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</si>
  <si>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</si>
  <si>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</si>
  <si>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</si>
  <si>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</si>
  <si>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</si>
  <si>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</si>
  <si>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</si>
  <si>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</si>
  <si>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</si>
  <si>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</si>
  <si>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</si>
  <si>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</si>
  <si>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</si>
  <si>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</si>
  <si>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</si>
  <si>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</si>
  <si>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</si>
  <si>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</si>
  <si>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</si>
  <si>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</si>
  <si>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</si>
  <si>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</si>
  <si>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</si>
  <si>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</si>
  <si>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</si>
  <si>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</si>
  <si>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</si>
  <si>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</si>
  <si>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</si>
  <si>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</si>
  <si>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</si>
  <si>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</si>
  <si>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</si>
  <si>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</si>
  <si>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</si>
  <si>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</si>
  <si>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</si>
  <si>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</si>
  <si>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</si>
  <si>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</si>
  <si>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</si>
  <si>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</si>
  <si>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</si>
  <si>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</si>
  <si>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</si>
  <si>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</si>
  <si>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</si>
  <si>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</si>
  <si>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</si>
  <si>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</si>
  <si>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</si>
  <si>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</si>
  <si>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</si>
  <si>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</si>
  <si>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</si>
  <si>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</si>
  <si>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</si>
  <si>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</si>
  <si>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</si>
  <si>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</si>
  <si>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</si>
  <si>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</si>
  <si>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</si>
  <si>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</si>
  <si>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</si>
  <si>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</si>
  <si>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</si>
  <si>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</si>
  <si>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</si>
  <si>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</si>
  <si>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</si>
  <si>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</si>
  <si>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</si>
  <si>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</si>
  <si>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</si>
  <si>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</si>
  <si>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</si>
  <si>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</si>
  <si>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</si>
  <si>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</si>
  <si>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</si>
  <si>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</si>
  <si>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</si>
  <si>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</si>
  <si>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</si>
  <si>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</si>
  <si>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</si>
  <si>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</si>
  <si>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</si>
  <si>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</si>
  <si>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</si>
  <si>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</si>
  <si>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</si>
  <si>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</si>
  <si>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</si>
  <si>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</si>
  <si>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</si>
  <si>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</si>
  <si>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</si>
  <si>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</si>
  <si>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</si>
  <si>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</si>
  <si>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</si>
  <si>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</si>
  <si>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</si>
  <si>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</si>
  <si>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</si>
  <si>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</si>
  <si>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</si>
  <si>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</si>
  <si>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</si>
  <si>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</si>
  <si>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</si>
  <si>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</si>
  <si>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</si>
  <si>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</si>
  <si>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</si>
  <si>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</si>
  <si>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</si>
  <si>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</si>
  <si>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</si>
  <si>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</si>
  <si>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</si>
  <si>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</si>
  <si>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</si>
  <si>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</si>
  <si>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</si>
  <si>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</si>
  <si>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</si>
  <si>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</si>
  <si>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</si>
  <si>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</si>
  <si>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</si>
  <si>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</si>
  <si>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</si>
  <si>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</si>
  <si>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</si>
  <si>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</si>
  <si>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</si>
  <si>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</si>
  <si>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</si>
  <si>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</si>
  <si>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</si>
  <si>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</si>
  <si>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</si>
  <si>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</si>
  <si>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</si>
  <si>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</si>
  <si>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</si>
  <si>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</si>
  <si>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</si>
  <si>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</si>
  <si>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</si>
  <si>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</si>
  <si>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</si>
  <si>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</si>
  <si>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</si>
  <si>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</si>
  <si>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</si>
  <si>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</si>
  <si>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</si>
  <si>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</si>
  <si>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</si>
  <si>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</si>
  <si>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</si>
  <si>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</si>
  <si>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</si>
  <si>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</si>
  <si>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</si>
  <si>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</si>
  <si>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</si>
  <si>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</si>
  <si>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</si>
  <si>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</si>
  <si>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</si>
  <si>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</si>
  <si>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</si>
  <si>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</si>
  <si>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</si>
  <si>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</si>
  <si>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</si>
  <si>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</si>
  <si>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</si>
  <si>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</si>
  <si>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</si>
  <si>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</si>
  <si>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</si>
  <si>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</si>
  <si>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</si>
  <si>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</si>
  <si>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</si>
  <si>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</si>
  <si>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</si>
  <si>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</si>
  <si>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</si>
  <si>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</si>
  <si>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</si>
  <si>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</si>
  <si>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</si>
  <si>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</si>
  <si>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</si>
  <si>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</si>
  <si>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</si>
  <si>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</si>
  <si>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</si>
  <si>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</si>
  <si>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</si>
  <si>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</si>
  <si>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</si>
  <si>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</si>
  <si>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</si>
  <si>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</si>
  <si>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</si>
  <si>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</si>
  <si>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</si>
  <si>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</si>
  <si>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</si>
  <si>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</si>
  <si>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</si>
  <si>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</si>
  <si>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</si>
  <si>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</si>
  <si>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</si>
  <si>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</si>
  <si>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</si>
  <si>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</si>
  <si>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</si>
  <si>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</si>
  <si>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</si>
  <si>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</si>
  <si>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</si>
  <si>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</si>
  <si>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</si>
  <si>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</si>
  <si>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</si>
  <si>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</si>
  <si>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</si>
  <si>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</si>
  <si>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</si>
  <si>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</si>
  <si>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</si>
  <si>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</si>
  <si>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</si>
  <si>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</si>
  <si>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</si>
  <si>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</si>
  <si>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</si>
  <si>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</si>
  <si>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</si>
  <si>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</si>
  <si>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</si>
  <si>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</si>
  <si>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</si>
  <si>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</si>
  <si>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</si>
  <si>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</si>
  <si>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</si>
  <si>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</si>
  <si>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</si>
  <si>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</si>
  <si>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</si>
  <si>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</si>
  <si>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</si>
  <si>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</si>
  <si>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</si>
  <si>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</si>
  <si>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</si>
  <si>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</si>
  <si>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</si>
  <si>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</si>
  <si>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</si>
  <si>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</si>
  <si>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</si>
  <si>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</si>
  <si>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</si>
  <si>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</si>
  <si>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</si>
  <si>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</si>
  <si>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</si>
  <si>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</si>
  <si>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</si>
  <si>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</si>
  <si>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</si>
  <si>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</si>
  <si>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</si>
  <si>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</si>
  <si>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</si>
  <si>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</si>
  <si>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</si>
  <si>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</si>
  <si>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</si>
  <si>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</si>
  <si>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</si>
  <si>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</si>
  <si>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</si>
  <si>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</si>
  <si>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</si>
  <si>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</si>
  <si>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</si>
  <si>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</si>
  <si>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</si>
  <si>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</si>
  <si>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</si>
  <si>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</si>
  <si>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</si>
  <si>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</si>
  <si>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</si>
  <si>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</si>
  <si>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</si>
  <si>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</si>
  <si>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</si>
  <si>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</si>
  <si>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</si>
  <si>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</si>
  <si>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</si>
  <si>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</si>
  <si>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</si>
  <si>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</si>
  <si>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</si>
  <si>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</si>
  <si>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</si>
  <si>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</si>
  <si>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</si>
  <si>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</si>
  <si>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</si>
  <si>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</si>
  <si>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</si>
  <si>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</si>
  <si>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</si>
  <si>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</si>
  <si>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</si>
  <si>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</si>
  <si>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</si>
  <si>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</si>
  <si>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</si>
  <si>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</si>
  <si>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</si>
  <si>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</si>
  <si>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</si>
  <si>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</si>
  <si>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</si>
  <si>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</si>
  <si>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</si>
  <si>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</si>
  <si>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</si>
  <si>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</si>
  <si>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</si>
  <si>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</si>
  <si>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</si>
  <si>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</si>
  <si>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</si>
  <si>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</si>
  <si>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</si>
  <si>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</si>
  <si>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</si>
  <si>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</si>
  <si>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</si>
  <si>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</si>
  <si>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</si>
  <si>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</si>
  <si>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</si>
  <si>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</si>
  <si>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</si>
  <si>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</si>
  <si>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</si>
  <si>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</si>
  <si>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</si>
  <si>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</si>
  <si>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</si>
  <si>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</si>
  <si>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</si>
  <si>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</si>
  <si>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</si>
  <si>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</si>
  <si>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</si>
  <si>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</si>
  <si>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</si>
  <si>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</si>
  <si>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</si>
  <si>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</si>
  <si>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</si>
  <si>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</si>
  <si>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</si>
  <si>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</si>
  <si>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</si>
  <si>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</si>
  <si>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</si>
  <si>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</si>
  <si>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</si>
  <si>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</si>
  <si>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</si>
  <si>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</si>
  <si>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</si>
  <si>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</si>
  <si>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</si>
  <si>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</si>
  <si>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</si>
  <si>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</si>
  <si>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</si>
  <si>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</si>
  <si>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</si>
  <si>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</si>
  <si>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</si>
  <si>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</si>
  <si>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</si>
  <si>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</si>
  <si>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</si>
  <si>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</si>
  <si>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</si>
  <si>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</si>
  <si>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</si>
  <si>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</si>
  <si>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</si>
  <si>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</si>
  <si>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</si>
  <si>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</si>
  <si>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</si>
  <si>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</si>
  <si>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</si>
  <si>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</si>
  <si>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</si>
  <si>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</si>
  <si>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</si>
  <si>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</si>
  <si>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</si>
  <si>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</si>
  <si>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</si>
  <si>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</si>
  <si>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</si>
  <si>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</si>
  <si>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</si>
  <si>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</si>
  <si>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</si>
  <si>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</si>
  <si>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</si>
  <si>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</si>
  <si>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</si>
  <si>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</si>
  <si>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</si>
  <si>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</si>
  <si>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</si>
  <si>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</si>
  <si>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</si>
  <si>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</si>
  <si>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</si>
  <si>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</si>
  <si>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</si>
  <si>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</si>
  <si>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</si>
  <si>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</si>
  <si>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</si>
  <si>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</si>
  <si>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</si>
  <si>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</si>
  <si>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</si>
  <si>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</si>
  <si>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</si>
  <si>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</si>
  <si>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</si>
  <si>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</si>
  <si>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</si>
  <si>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</si>
  <si>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</si>
  <si>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</si>
  <si>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</si>
  <si>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</si>
  <si>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</si>
  <si>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</si>
  <si>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</si>
  <si>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</si>
  <si>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</si>
  <si>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</si>
  <si>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</si>
  <si>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</si>
  <si>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</si>
  <si>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</si>
  <si>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</si>
  <si>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</si>
  <si>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</si>
  <si>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</si>
  <si>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</si>
  <si>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</si>
  <si>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</si>
  <si>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</si>
  <si>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</si>
  <si>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</si>
  <si>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</si>
  <si>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</si>
  <si>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</si>
  <si>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</si>
  <si>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</si>
  <si>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</si>
  <si>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</si>
  <si>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</si>
  <si>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</si>
  <si>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</si>
  <si>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</si>
  <si>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</si>
  <si>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</si>
  <si>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</si>
  <si>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</si>
  <si>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</si>
  <si>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</si>
  <si>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</si>
  <si>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</si>
  <si>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</si>
  <si>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</si>
  <si>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</si>
  <si>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</si>
  <si>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</si>
  <si>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</si>
  <si>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</si>
  <si>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</si>
  <si>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</si>
  <si>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</si>
  <si>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</si>
  <si>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</si>
  <si>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</si>
  <si>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</si>
  <si>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</si>
  <si>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</si>
  <si>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</si>
  <si>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</si>
  <si>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</si>
  <si>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</si>
  <si>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</si>
  <si>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</si>
  <si>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</si>
  <si>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</si>
  <si>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</si>
  <si>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</si>
  <si>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</si>
  <si>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</si>
  <si>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</si>
  <si>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</si>
  <si>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</si>
  <si>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</si>
  <si>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</si>
  <si>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</si>
  <si>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</si>
  <si>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</si>
  <si>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</si>
  <si>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</si>
  <si>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</si>
  <si>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</si>
  <si>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</si>
  <si>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</si>
  <si>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</si>
  <si>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</si>
  <si>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</si>
  <si>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</si>
  <si>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</si>
  <si>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</si>
  <si>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</si>
  <si>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</si>
  <si>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</si>
  <si>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</si>
  <si>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</si>
  <si>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</si>
  <si>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</si>
  <si>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</si>
  <si>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</si>
  <si>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</si>
  <si>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</si>
  <si>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</si>
  <si>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</si>
  <si>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</si>
  <si>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</si>
  <si>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</si>
  <si>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</si>
  <si>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</si>
  <si>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</si>
  <si>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</si>
  <si>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</si>
  <si>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</si>
  <si>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</si>
  <si>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</si>
  <si>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</si>
  <si>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</si>
  <si>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</si>
  <si>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</si>
  <si>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</si>
  <si>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</si>
  <si>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</si>
  <si>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</si>
  <si>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</si>
  <si>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</si>
  <si>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</si>
  <si>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</si>
  <si>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</si>
  <si>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</si>
  <si>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</si>
  <si>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</si>
  <si>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</si>
  <si>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</si>
  <si>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</si>
  <si>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</si>
  <si>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</si>
  <si>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</si>
  <si>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</si>
  <si>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</si>
  <si>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</si>
  <si>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</si>
  <si>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</si>
  <si>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</si>
  <si>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</si>
  <si>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</si>
  <si>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</si>
  <si>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</si>
  <si>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</si>
  <si>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</si>
  <si>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</si>
  <si>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</si>
  <si>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</si>
  <si>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</si>
  <si>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</si>
  <si>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</si>
  <si>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</si>
  <si>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</si>
  <si>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</si>
  <si>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</si>
  <si>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</si>
  <si>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</si>
  <si>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</si>
  <si>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</si>
  <si>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</si>
  <si>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</si>
  <si>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</si>
  <si>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</si>
  <si>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</si>
  <si>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</si>
  <si>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</si>
  <si>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</si>
  <si>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</si>
  <si>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</si>
  <si>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</si>
  <si>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</si>
  <si>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</si>
  <si>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</si>
  <si>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</si>
  <si>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</si>
  <si>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</si>
  <si>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</si>
  <si>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</si>
  <si>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</si>
  <si>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</si>
  <si>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</si>
  <si>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</si>
  <si>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</si>
  <si>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</si>
  <si>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</si>
  <si>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</si>
  <si>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</si>
  <si>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</si>
  <si>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</si>
  <si>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</si>
  <si>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</si>
  <si>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</si>
  <si>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</si>
  <si>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</si>
  <si>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</si>
  <si>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</si>
  <si>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</si>
  <si>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</si>
  <si>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</si>
  <si>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</si>
  <si>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</si>
  <si>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</si>
  <si>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</si>
  <si>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</si>
  <si>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</si>
  <si>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</si>
  <si>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</si>
  <si>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</si>
  <si>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</si>
  <si>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</si>
  <si>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</si>
  <si>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</si>
  <si>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</si>
  <si>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</si>
  <si>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</si>
  <si>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</si>
  <si>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</si>
  <si>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</si>
  <si>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</si>
  <si>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</si>
  <si>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</si>
  <si>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</si>
  <si>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</si>
  <si>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</si>
  <si>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</si>
  <si>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</si>
  <si>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</si>
  <si>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</si>
  <si>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</si>
  <si>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</si>
  <si>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</si>
  <si>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</si>
  <si>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</si>
  <si>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</si>
  <si>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</si>
  <si>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</si>
  <si>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</si>
  <si>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</si>
  <si>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</si>
  <si>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</si>
  <si>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</si>
  <si>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</si>
  <si>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</si>
  <si>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</si>
  <si>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</si>
  <si>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</si>
  <si>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</si>
  <si>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</si>
  <si>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</si>
  <si>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</si>
  <si>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</si>
  <si>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</si>
  <si>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</si>
  <si>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</si>
  <si>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</si>
  <si>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</si>
  <si>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</si>
  <si>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</si>
  <si>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</si>
  <si>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</si>
  <si>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</si>
  <si>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</si>
  <si>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</si>
  <si>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</si>
  <si>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</si>
  <si>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</si>
  <si>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</si>
  <si>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</si>
  <si>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</si>
  <si>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</si>
  <si>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</si>
  <si>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</si>
  <si>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</si>
  <si>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</si>
  <si>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</si>
  <si>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</si>
  <si>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</si>
  <si>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</si>
  <si>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</si>
  <si>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</si>
  <si>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</si>
  <si>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</si>
  <si>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</si>
  <si>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</si>
  <si>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</si>
  <si>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</si>
  <si>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</si>
  <si>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</si>
  <si>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</si>
  <si>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</si>
  <si>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</si>
  <si>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</si>
  <si>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</si>
  <si>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</si>
  <si>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</si>
  <si>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</si>
  <si>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</si>
  <si>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</si>
  <si>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</si>
  <si>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</si>
  <si>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</si>
  <si>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</si>
  <si>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</si>
  <si>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</si>
  <si>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</si>
  <si>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</si>
  <si>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</si>
  <si>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</si>
  <si>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</si>
  <si>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</si>
  <si>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</si>
  <si>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</si>
  <si>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</si>
  <si>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</si>
  <si>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</si>
  <si>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</si>
  <si>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</si>
  <si>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</si>
  <si>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</si>
  <si>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</si>
  <si>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</si>
  <si>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</si>
  <si>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</si>
  <si>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</si>
  <si>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</si>
  <si>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</si>
  <si>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</si>
  <si>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</si>
  <si>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</si>
  <si>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</si>
  <si>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</si>
  <si>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</si>
  <si>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</si>
  <si>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</si>
  <si>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</si>
  <si>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</si>
  <si>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</si>
  <si>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</si>
  <si>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</si>
  <si>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</si>
  <si>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</si>
  <si>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</si>
  <si>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</si>
  <si>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</si>
  <si>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</si>
  <si>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</si>
  <si>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</si>
  <si>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</si>
  <si>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</si>
  <si>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</si>
  <si>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</si>
  <si>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</si>
  <si>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</si>
  <si>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</si>
  <si>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</si>
  <si>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</si>
  <si>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</si>
  <si>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</si>
  <si>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</si>
  <si>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</si>
  <si>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</si>
  <si>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</si>
  <si>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</si>
  <si>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</si>
  <si>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</si>
  <si>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</si>
  <si>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</si>
  <si>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</si>
  <si>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</si>
  <si>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</si>
  <si>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</si>
  <si>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</si>
  <si>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</si>
  <si>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</si>
  <si>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</si>
  <si>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</si>
  <si>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</si>
  <si>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</si>
  <si>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</si>
  <si>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</si>
  <si>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</si>
  <si>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</si>
  <si>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</si>
  <si>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</si>
  <si>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</si>
  <si>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</si>
  <si>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</si>
  <si>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</si>
  <si>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</si>
  <si>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</si>
  <si>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</si>
  <si>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</si>
  <si>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</si>
  <si>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</si>
  <si>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</si>
  <si>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</si>
  <si>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</si>
  <si>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</si>
  <si>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</si>
  <si>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</si>
  <si>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</si>
  <si>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</si>
  <si>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</si>
  <si>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</si>
  <si>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</si>
  <si>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</si>
  <si>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</si>
  <si>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</si>
  <si>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</si>
  <si>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</si>
  <si>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</si>
  <si>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</si>
  <si>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</si>
  <si>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</si>
  <si>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</si>
  <si>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</si>
  <si>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</si>
  <si>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</si>
  <si>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</si>
  <si>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</si>
  <si>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</si>
  <si>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</si>
  <si>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</si>
  <si>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</si>
  <si>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</si>
  <si>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</si>
  <si>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</si>
  <si>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</si>
  <si>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</si>
  <si>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</si>
  <si>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</si>
  <si>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</si>
  <si>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</si>
  <si>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</si>
  <si>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</si>
  <si>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</si>
  <si>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</si>
  <si>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</si>
  <si>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</si>
  <si>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</si>
  <si>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</si>
  <si>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</si>
  <si>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</si>
  <si>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</si>
  <si>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</si>
  <si>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</si>
  <si>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</si>
  <si>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</si>
  <si>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</si>
  <si>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</si>
  <si>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</si>
  <si>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</si>
  <si>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</si>
  <si>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</si>
  <si>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</si>
  <si>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</si>
  <si>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</si>
  <si>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</si>
  <si>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</si>
  <si>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</si>
  <si>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</si>
  <si>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</si>
  <si>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</si>
  <si>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</si>
  <si>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</si>
  <si>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</si>
  <si>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</si>
  <si>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</si>
  <si>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</si>
  <si>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</si>
  <si>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</si>
  <si>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</si>
  <si>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</si>
  <si>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</si>
  <si>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</si>
  <si>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</si>
  <si>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</si>
  <si>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</si>
  <si>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</si>
  <si>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</si>
  <si>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</si>
  <si>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</si>
  <si>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</si>
  <si>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</si>
  <si>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</si>
  <si>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</si>
  <si>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</si>
  <si>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</si>
  <si>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</si>
  <si>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</si>
  <si>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</si>
  <si>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</si>
  <si>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</si>
  <si>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</si>
  <si>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</si>
  <si>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</si>
  <si>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</si>
  <si>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</si>
  <si>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</si>
  <si>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</si>
  <si>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</si>
  <si>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</si>
  <si>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</si>
  <si>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</si>
  <si>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</si>
  <si>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</si>
  <si>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</si>
  <si>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</si>
  <si>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</si>
  <si>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</si>
  <si>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</si>
  <si>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</si>
  <si>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</si>
  <si>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</si>
  <si>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</si>
  <si>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</si>
  <si>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</si>
  <si>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</si>
  <si>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</si>
  <si>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</si>
  <si>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</si>
  <si>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</si>
  <si>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</si>
  <si>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</si>
  <si>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</si>
  <si>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</si>
  <si>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</si>
  <si>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</si>
  <si>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</si>
  <si>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</si>
  <si>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</si>
  <si>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</si>
  <si>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</si>
  <si>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</si>
  <si>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</si>
  <si>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</si>
  <si>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</si>
  <si>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</si>
  <si>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</si>
  <si>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</si>
  <si>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</si>
  <si>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</si>
  <si>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</si>
  <si>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</si>
  <si>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</si>
  <si>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</si>
  <si>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</si>
  <si>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</si>
  <si>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</si>
  <si>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</si>
  <si>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</si>
  <si>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</si>
  <si>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</si>
  <si>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</si>
  <si>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</si>
  <si>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</si>
  <si>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</si>
  <si>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</si>
  <si>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</si>
  <si>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</si>
  <si>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</si>
  <si>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</si>
  <si>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</si>
  <si>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</si>
  <si>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</si>
  <si>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</si>
  <si>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</si>
  <si>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</si>
  <si>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</si>
  <si>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</si>
  <si>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</si>
  <si>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</si>
  <si>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</si>
  <si>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</si>
  <si>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</si>
  <si>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</si>
  <si>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</si>
  <si>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</si>
  <si>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</si>
  <si>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</si>
  <si>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</si>
  <si>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</si>
  <si>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</si>
  <si>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</si>
  <si>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</si>
  <si>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</si>
  <si>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</si>
  <si>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</si>
  <si>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</si>
  <si>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</si>
  <si>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</si>
  <si>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</si>
  <si>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</si>
  <si>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</si>
  <si>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</si>
  <si>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</si>
  <si>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</si>
  <si>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</si>
  <si>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</si>
  <si>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</si>
  <si>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</si>
  <si>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</si>
  <si>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</si>
  <si>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</si>
  <si>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</si>
  <si>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</si>
  <si>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</si>
  <si>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</si>
  <si>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</si>
  <si>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</si>
  <si>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</si>
  <si>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</si>
  <si>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</si>
  <si>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</si>
  <si>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</si>
  <si>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</si>
  <si>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</si>
  <si>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</si>
  <si>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</si>
  <si>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</si>
  <si>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</si>
  <si>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</si>
  <si>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</si>
  <si>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</si>
  <si>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</si>
  <si>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</si>
  <si>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</si>
  <si>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</si>
  <si>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</si>
  <si>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</si>
  <si>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</si>
  <si>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</si>
  <si>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</si>
  <si>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</si>
  <si>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</si>
  <si>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</si>
  <si>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</si>
  <si>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</si>
  <si>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</si>
  <si>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</si>
  <si>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</si>
  <si>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</si>
  <si>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</si>
  <si>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</si>
  <si>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</si>
  <si>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</si>
  <si>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</si>
  <si>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</si>
  <si>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</si>
  <si>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</si>
  <si>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</si>
  <si>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</si>
  <si>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</si>
  <si>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</si>
  <si>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</si>
  <si>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</si>
  <si>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</si>
  <si>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</si>
  <si>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</si>
  <si>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</si>
  <si>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</si>
  <si>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</si>
  <si>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</si>
  <si>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</si>
  <si>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</si>
  <si>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</si>
  <si>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</si>
  <si>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</si>
  <si>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</si>
  <si>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</si>
  <si>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</si>
  <si>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</si>
  <si>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</si>
  <si>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</si>
  <si>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</si>
  <si>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</si>
  <si>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</si>
  <si>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</si>
  <si>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</si>
  <si>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</si>
  <si>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</si>
  <si>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</si>
  <si>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</si>
  <si>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</si>
  <si>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</si>
  <si>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</si>
  <si>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</si>
  <si>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</si>
  <si>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</si>
  <si>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</si>
  <si>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</si>
  <si>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</si>
  <si>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</si>
  <si>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</si>
  <si>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</si>
  <si>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</si>
  <si>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</si>
  <si>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</si>
  <si>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</si>
  <si>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</si>
  <si>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</si>
  <si>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</si>
  <si>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</si>
  <si>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</si>
  <si>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</si>
  <si>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</si>
  <si>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</si>
  <si>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</si>
  <si>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</si>
  <si>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</si>
  <si>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</si>
  <si>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</si>
  <si>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</si>
  <si>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</si>
  <si>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</si>
  <si>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</si>
  <si>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</si>
  <si>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</si>
  <si>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</si>
  <si>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</si>
  <si>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</si>
  <si>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</si>
  <si>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</si>
  <si>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</si>
  <si>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</si>
  <si>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</si>
  <si>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</si>
  <si>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</si>
  <si>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</si>
  <si>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</si>
  <si>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</si>
  <si>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</si>
  <si>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</si>
  <si>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</si>
  <si>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</si>
  <si>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</si>
  <si>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</si>
  <si>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</si>
  <si>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</si>
  <si>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</si>
  <si>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</si>
  <si>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</si>
  <si>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</si>
  <si>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</si>
  <si>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</si>
  <si>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</si>
  <si>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</si>
  <si>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</si>
  <si>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</si>
  <si>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</si>
  <si>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</si>
  <si>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</si>
  <si>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</si>
  <si>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</si>
  <si>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</si>
  <si>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</si>
  <si>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</si>
  <si>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</si>
  <si>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</si>
  <si>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</si>
  <si>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</si>
  <si>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</si>
  <si>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</si>
  <si>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</si>
  <si>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</si>
  <si>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</si>
  <si>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</si>
  <si>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</si>
  <si>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</si>
  <si>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</si>
  <si>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</si>
  <si>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</si>
  <si>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</si>
  <si>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</si>
  <si>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</si>
  <si>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</si>
  <si>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</si>
  <si>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</si>
  <si>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</si>
  <si>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</si>
  <si>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</si>
  <si>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</si>
  <si>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</si>
  <si>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</si>
  <si>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</si>
  <si>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</si>
  <si>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</si>
  <si>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</si>
  <si>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</si>
  <si>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</si>
  <si>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</si>
  <si>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</si>
  <si>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</si>
  <si>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</si>
  <si>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</si>
  <si>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</si>
  <si>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</si>
  <si>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</si>
  <si>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</si>
  <si>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</si>
  <si>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</si>
  <si>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</si>
  <si>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</si>
  <si>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</si>
  <si>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</si>
  <si>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</si>
  <si>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</si>
  <si>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</si>
  <si>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</si>
  <si>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</si>
  <si>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</si>
  <si>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</si>
  <si>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</si>
  <si>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</si>
  <si>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</si>
  <si>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</si>
  <si>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</si>
  <si>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</si>
  <si>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</si>
  <si>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</si>
  <si>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</si>
  <si>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</si>
  <si>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</si>
  <si>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</si>
  <si>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</si>
  <si>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</si>
  <si>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</si>
  <si>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</si>
  <si>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</si>
  <si>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</si>
  <si>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</si>
  <si>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</si>
  <si>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</si>
  <si>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</si>
  <si>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</si>
  <si>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</si>
  <si>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</si>
  <si>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</si>
  <si>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</si>
  <si>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</si>
  <si>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</si>
  <si>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</si>
  <si>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</si>
  <si>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</si>
  <si>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</si>
  <si>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</si>
  <si>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</si>
  <si>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</si>
  <si>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</si>
  <si>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</si>
  <si>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</si>
  <si>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</si>
  <si>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</si>
  <si>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</si>
  <si>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</si>
  <si>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</si>
  <si>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</si>
  <si>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</si>
  <si>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</si>
  <si>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</si>
  <si>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</si>
  <si>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</si>
  <si>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</si>
  <si>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</si>
  <si>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</si>
  <si>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</si>
  <si>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</si>
  <si>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</si>
  <si>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</si>
  <si>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</si>
  <si>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</si>
  <si>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</si>
  <si>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</si>
  <si>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</si>
  <si>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</si>
  <si>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</si>
  <si>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</si>
  <si>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</si>
  <si>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</si>
  <si>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</si>
  <si>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</si>
  <si>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</si>
  <si>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</si>
  <si>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</si>
  <si>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</si>
  <si>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</si>
  <si>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</si>
  <si>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</si>
  <si>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</si>
  <si>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</si>
  <si>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</si>
  <si>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</si>
  <si>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</si>
  <si>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</si>
  <si>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</si>
  <si>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</si>
  <si>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</si>
  <si>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</si>
  <si>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</si>
  <si>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</si>
  <si>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</si>
  <si>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</si>
  <si>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</si>
  <si>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</si>
  <si>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</si>
  <si>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</si>
  <si>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</si>
  <si>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</si>
  <si>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</si>
  <si>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</si>
  <si>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</si>
  <si>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</si>
  <si>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</si>
  <si>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</si>
  <si>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</si>
  <si>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</si>
  <si>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</si>
  <si>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</si>
  <si>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</si>
  <si>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</si>
  <si>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</si>
  <si>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</si>
  <si>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</si>
  <si>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</si>
  <si>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</si>
  <si>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</si>
  <si>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</si>
  <si>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</si>
  <si>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</si>
  <si>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</si>
  <si>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</si>
  <si>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</si>
  <si>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</si>
  <si>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</si>
  <si>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</si>
  <si>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</si>
  <si>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</si>
  <si>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</si>
  <si>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</si>
  <si>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</si>
  <si>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</si>
  <si>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</si>
  <si>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</si>
  <si>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</si>
  <si>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</si>
  <si>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</si>
  <si>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</si>
  <si>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</si>
  <si>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</si>
  <si>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</si>
  <si>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</si>
  <si>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</si>
  <si>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</si>
  <si>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</si>
  <si>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</si>
  <si>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</si>
  <si>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</si>
  <si>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</si>
  <si>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</si>
  <si>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</si>
  <si>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</si>
  <si>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</si>
  <si>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</si>
  <si>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</si>
  <si>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</si>
  <si>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</si>
  <si>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</si>
  <si>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</si>
  <si>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</si>
  <si>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</si>
  <si>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</si>
  <si>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</si>
  <si>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</si>
  <si>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</si>
  <si>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</si>
  <si>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</si>
  <si>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</si>
  <si>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</si>
  <si>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</si>
  <si>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</si>
  <si>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</si>
  <si>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</si>
  <si>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</si>
  <si>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</si>
  <si>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</si>
  <si>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</si>
  <si>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</si>
  <si>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</si>
  <si>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</si>
  <si>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</si>
  <si>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</si>
  <si>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</si>
  <si>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</si>
  <si>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</si>
  <si>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</si>
  <si>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</si>
  <si>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</si>
  <si>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</si>
  <si>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</si>
  <si>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</si>
  <si>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</si>
  <si>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</si>
  <si>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</si>
  <si>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</si>
  <si>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</si>
  <si>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</si>
  <si>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</si>
  <si>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</si>
  <si>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</si>
  <si>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</si>
  <si>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</si>
  <si>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</si>
  <si>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</si>
  <si>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</si>
  <si>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</si>
  <si>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</si>
  <si>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</si>
  <si>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</si>
  <si>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</si>
  <si>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</si>
  <si>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</si>
  <si>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</si>
  <si>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</si>
  <si>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</si>
  <si>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</si>
  <si>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</si>
  <si>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</si>
  <si>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</si>
  <si>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</si>
  <si>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</si>
  <si>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</si>
  <si>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</si>
  <si>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</si>
  <si>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</si>
  <si>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</si>
  <si>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</si>
  <si>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</si>
  <si>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</si>
  <si>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</si>
  <si>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</si>
  <si>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</si>
  <si>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</si>
  <si>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</si>
  <si>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</si>
  <si>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</si>
  <si>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</si>
  <si>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</si>
  <si>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</si>
  <si>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</si>
  <si>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</si>
  <si>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</si>
  <si>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</si>
  <si>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</si>
  <si>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</si>
  <si>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</si>
  <si>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</si>
  <si>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</si>
  <si>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</si>
  <si>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</si>
  <si>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</si>
  <si>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</si>
  <si>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</si>
  <si>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</si>
  <si>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</si>
  <si>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</si>
  <si>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</si>
  <si>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</si>
  <si>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</si>
  <si>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</si>
  <si>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</si>
  <si>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</si>
  <si>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</si>
  <si>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</si>
  <si>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</si>
  <si>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</si>
  <si>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</si>
  <si>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</si>
  <si>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</si>
  <si>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</si>
  <si>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</si>
  <si>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</si>
  <si>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</si>
  <si>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</si>
  <si>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</si>
  <si>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</si>
  <si>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</si>
  <si>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</si>
  <si>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</si>
  <si>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</si>
  <si>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</si>
  <si>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</si>
  <si>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</si>
  <si>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</si>
  <si>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</si>
  <si>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</si>
  <si>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</si>
  <si>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</si>
  <si>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</si>
  <si>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</si>
  <si>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</si>
  <si>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</si>
  <si>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</si>
  <si>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</si>
  <si>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</si>
  <si>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</si>
  <si>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</si>
  <si>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</si>
  <si>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</si>
  <si>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</si>
  <si>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</si>
  <si>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</si>
  <si>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</si>
  <si>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</si>
  <si>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</si>
  <si>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</si>
  <si>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</si>
  <si>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</si>
  <si>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</si>
  <si>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</si>
  <si>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</si>
  <si>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</si>
  <si>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</si>
  <si>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</si>
  <si>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</si>
  <si>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</si>
  <si>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</si>
  <si>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</si>
  <si>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</si>
  <si>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</si>
  <si>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</si>
  <si>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</si>
  <si>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</si>
  <si>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</si>
  <si>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</si>
  <si>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</si>
  <si>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</si>
  <si>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</si>
  <si>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</si>
  <si>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</si>
  <si>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</si>
  <si>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</si>
  <si>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</si>
  <si>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</si>
  <si>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</si>
  <si>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</si>
  <si>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</si>
  <si>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</si>
  <si>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</si>
  <si>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</si>
  <si>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</si>
  <si>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</si>
  <si>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</si>
  <si>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</si>
  <si>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</si>
  <si>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</si>
  <si>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</si>
  <si>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</si>
  <si>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</si>
  <si>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</si>
  <si>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</si>
  <si>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</si>
  <si>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</si>
  <si>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</si>
  <si>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</si>
  <si>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</si>
  <si>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</si>
  <si>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</si>
  <si>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</si>
  <si>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</si>
  <si>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</si>
  <si>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</si>
  <si>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</si>
  <si>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</si>
  <si>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</si>
  <si>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</si>
  <si>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</si>
  <si>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</si>
  <si>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</si>
  <si>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</si>
  <si>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</si>
  <si>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</si>
  <si>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</si>
  <si>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</si>
  <si>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</si>
  <si>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</si>
  <si>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</si>
  <si>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</si>
  <si>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</si>
  <si>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</si>
  <si>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</si>
  <si>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</si>
  <si>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</si>
  <si>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</si>
  <si>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</si>
  <si>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</si>
  <si>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</si>
  <si>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</si>
  <si>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</si>
  <si>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</si>
  <si>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</si>
  <si>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</si>
  <si>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</si>
  <si>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</si>
  <si>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</si>
  <si>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</si>
  <si>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</si>
  <si>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</si>
  <si>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</si>
  <si>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</si>
  <si>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</si>
  <si>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</si>
  <si>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</si>
  <si>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</si>
  <si>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</si>
  <si>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</si>
  <si>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</si>
  <si>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</si>
  <si>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</si>
  <si>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</si>
  <si>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</si>
  <si>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</si>
  <si>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</si>
  <si>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</si>
  <si>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</si>
  <si>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</si>
  <si>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</si>
  <si>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</si>
  <si>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</si>
  <si>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</si>
  <si>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</si>
  <si>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</si>
  <si>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</si>
  <si>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</si>
  <si>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</si>
  <si>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</si>
  <si>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</si>
  <si>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</si>
  <si>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</si>
  <si>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</si>
  <si>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</si>
  <si>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</si>
  <si>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</si>
  <si>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</si>
  <si>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</si>
  <si>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</si>
  <si>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</si>
  <si>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</si>
  <si>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</si>
  <si>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</si>
  <si>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</si>
  <si>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</si>
  <si>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</si>
  <si>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</si>
  <si>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</si>
  <si>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</si>
  <si>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</si>
  <si>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</si>
  <si>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</si>
  <si>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</si>
  <si>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</si>
  <si>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</si>
  <si>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</si>
  <si>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</si>
  <si>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</si>
  <si>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</si>
  <si>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</si>
  <si>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</si>
  <si>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</si>
  <si>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</si>
  <si>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</si>
  <si>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</si>
  <si>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</si>
  <si>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</si>
  <si>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</si>
  <si>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</si>
  <si>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</si>
  <si>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</si>
  <si>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</si>
  <si>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</si>
  <si>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</si>
  <si>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</si>
  <si>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</si>
  <si>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</si>
  <si>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</si>
  <si>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</si>
  <si>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</si>
  <si>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</si>
  <si>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</si>
  <si>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</si>
  <si>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</si>
  <si>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</si>
  <si>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</si>
  <si>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</si>
  <si>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</si>
  <si>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</si>
  <si>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</si>
  <si>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</si>
  <si>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</si>
  <si>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</si>
  <si>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</si>
  <si>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</si>
  <si>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</si>
  <si>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</si>
  <si>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</si>
  <si>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</si>
  <si>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</si>
  <si>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</si>
  <si>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</si>
  <si>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</si>
  <si>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</si>
  <si>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</si>
  <si>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</si>
  <si>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</si>
  <si>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</si>
  <si>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</si>
  <si>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</si>
  <si>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</si>
  <si>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</si>
  <si>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</si>
  <si>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</si>
  <si>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</si>
  <si>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</si>
  <si>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</si>
  <si>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</si>
  <si>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</si>
  <si>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</si>
  <si>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</si>
  <si>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</si>
  <si>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</si>
  <si>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</si>
  <si>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</si>
  <si>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</si>
  <si>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</si>
  <si>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</si>
  <si>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</si>
  <si>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</si>
  <si>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</si>
  <si>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</si>
  <si>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</si>
  <si>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</si>
  <si>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</si>
  <si>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</si>
  <si>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</si>
  <si>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</si>
  <si>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</si>
  <si>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</si>
  <si>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</si>
  <si>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</si>
  <si>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</si>
  <si>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</si>
  <si>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</si>
  <si>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</si>
  <si>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</si>
  <si>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</si>
  <si>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</si>
  <si>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</si>
  <si>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</si>
  <si>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</si>
  <si>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</si>
  <si>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</si>
  <si>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</si>
  <si>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</si>
  <si>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</si>
  <si>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</si>
  <si>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</si>
  <si>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</si>
  <si>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</si>
  <si>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</si>
  <si>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</si>
  <si>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</si>
  <si>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</si>
  <si>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</si>
  <si>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</si>
  <si>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</si>
  <si>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</si>
  <si>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</si>
  <si>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</si>
  <si>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</si>
  <si>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</si>
  <si>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</si>
  <si>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</si>
  <si>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</si>
  <si>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</si>
  <si>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</si>
  <si>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</si>
  <si>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</si>
  <si>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</si>
  <si>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</si>
  <si>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</si>
  <si>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</si>
  <si>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</si>
  <si>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</si>
  <si>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</si>
  <si>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</si>
  <si>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</si>
  <si>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</si>
  <si>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</si>
  <si>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</si>
  <si>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</si>
  <si>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</si>
  <si>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</si>
  <si>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</si>
  <si>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</si>
  <si>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</si>
  <si>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</si>
  <si>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</si>
  <si>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</si>
  <si>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</si>
  <si>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</si>
  <si>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</si>
  <si>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</si>
  <si>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</si>
  <si>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</si>
  <si>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</si>
  <si>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</si>
  <si>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</si>
  <si>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</si>
  <si>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</si>
  <si>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</si>
  <si>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</si>
  <si>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</si>
  <si>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</si>
  <si>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</si>
  <si>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</si>
  <si>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</si>
  <si>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</si>
  <si>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</si>
  <si>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</si>
  <si>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</si>
  <si>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</si>
  <si>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</si>
  <si>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</si>
  <si>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</si>
  <si>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</si>
  <si>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</si>
  <si>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</si>
  <si>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</si>
  <si>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</si>
  <si>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</si>
  <si>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</si>
  <si>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</si>
  <si>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</si>
  <si>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</si>
  <si>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</si>
  <si>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</si>
  <si>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</si>
  <si>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</si>
  <si>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</si>
  <si>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</si>
  <si>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</si>
  <si>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</si>
  <si>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</si>
  <si>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</si>
  <si>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</si>
  <si>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</si>
  <si>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</si>
  <si>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</si>
  <si>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</si>
  <si>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</si>
  <si>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</si>
  <si>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</si>
  <si>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</si>
  <si>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</si>
  <si>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</si>
  <si>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</si>
  <si>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</si>
  <si>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</si>
  <si>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</si>
  <si>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</si>
  <si>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</si>
  <si>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</si>
  <si>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</si>
  <si>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</si>
  <si>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</si>
  <si>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</si>
  <si>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</si>
  <si>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</si>
  <si>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</si>
  <si>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</si>
  <si>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</si>
  <si>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</si>
  <si>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</si>
  <si>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</si>
  <si>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</si>
  <si>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</si>
  <si>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</si>
  <si>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</si>
  <si>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</si>
  <si>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</si>
  <si>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</si>
  <si>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</si>
  <si>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</si>
  <si>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</si>
  <si>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</si>
  <si>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</si>
  <si>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</si>
  <si>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</si>
  <si>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</si>
  <si>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</si>
  <si>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</si>
  <si>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</si>
  <si>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</si>
  <si>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</si>
  <si>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</si>
  <si>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</si>
  <si>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</si>
  <si>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</si>
  <si>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</si>
  <si>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</si>
  <si>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</si>
  <si>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</si>
  <si>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</si>
  <si>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</si>
  <si>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</si>
  <si>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</si>
  <si>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</si>
  <si>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</si>
  <si>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</si>
  <si>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</si>
  <si>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</si>
  <si>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</si>
  <si>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</si>
  <si>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</si>
  <si>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</si>
  <si>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</si>
  <si>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</si>
  <si>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</si>
  <si>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</si>
  <si>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</si>
  <si>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</si>
  <si>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</si>
  <si>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</si>
  <si>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</si>
  <si>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</si>
  <si>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</si>
  <si>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</si>
  <si>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</si>
  <si>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</si>
  <si>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</si>
  <si>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</si>
  <si>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</si>
  <si>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</si>
  <si>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</si>
  <si>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</si>
  <si>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</si>
  <si>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</si>
  <si>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</si>
  <si>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</si>
  <si>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</si>
  <si>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</si>
  <si>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</si>
  <si>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</si>
  <si>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</si>
  <si>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</si>
  <si>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</si>
  <si>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</si>
  <si>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</si>
  <si>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</si>
  <si>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</si>
  <si>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</si>
  <si>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</si>
  <si>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</si>
  <si>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</si>
  <si>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</si>
  <si>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</si>
  <si>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</si>
  <si>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</si>
  <si>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</si>
  <si>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</si>
  <si>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</si>
  <si>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</si>
  <si>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</si>
  <si>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</si>
  <si>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</si>
  <si>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</si>
  <si>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</si>
  <si>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</si>
  <si>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</si>
  <si>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</si>
  <si>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</si>
  <si>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</si>
  <si>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</si>
  <si>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</si>
  <si>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</si>
  <si>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</si>
  <si>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</si>
  <si>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</si>
  <si>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</si>
  <si>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</si>
  <si>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</si>
  <si>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</si>
  <si>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</si>
  <si>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</si>
  <si>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</si>
  <si>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</si>
  <si>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</si>
  <si>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</si>
  <si>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</si>
  <si>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</si>
  <si>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</si>
  <si>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</si>
  <si>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</si>
  <si>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</si>
  <si>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</si>
  <si>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</si>
  <si>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</si>
  <si>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</si>
  <si>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</si>
  <si>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</si>
  <si>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</si>
  <si>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</si>
  <si>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</si>
  <si>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</si>
  <si>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</si>
  <si>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</si>
  <si>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</si>
  <si>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</si>
  <si>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</si>
  <si>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</si>
  <si>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</si>
  <si>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</si>
  <si>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</si>
  <si>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</si>
  <si>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</si>
  <si>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</si>
  <si>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</si>
  <si>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</si>
  <si>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</si>
  <si>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</si>
  <si>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</si>
  <si>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</si>
  <si>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</si>
  <si>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</si>
  <si>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</si>
  <si>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</si>
  <si>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</si>
  <si>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</si>
  <si>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</si>
  <si>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</si>
  <si>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</si>
  <si>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</si>
  <si>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</si>
  <si>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</si>
  <si>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</si>
  <si>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</si>
  <si>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</si>
  <si>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</si>
  <si>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</si>
  <si>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</si>
  <si>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</si>
  <si>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</si>
  <si>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</si>
  <si>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</si>
  <si>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</si>
  <si>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</si>
  <si>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</si>
  <si>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</si>
  <si>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</si>
  <si>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</si>
  <si>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</si>
  <si>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</si>
  <si>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</si>
  <si>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</si>
  <si>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</si>
  <si>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</si>
  <si>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</si>
  <si>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</si>
  <si>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</si>
  <si>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</si>
  <si>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</si>
  <si>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</si>
  <si>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</si>
  <si>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</si>
  <si>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</si>
  <si>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</si>
  <si>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</si>
  <si>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</si>
  <si>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</si>
  <si>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</si>
  <si>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</si>
  <si>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</si>
  <si>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</si>
  <si>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</si>
  <si>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</si>
  <si>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</si>
  <si>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</si>
  <si>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</si>
  <si>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</si>
  <si>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</si>
  <si>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</si>
  <si>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</si>
  <si>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</si>
  <si>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</si>
  <si>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</si>
  <si>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</si>
  <si>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</si>
  <si>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</si>
  <si>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</si>
  <si>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</si>
  <si>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</si>
  <si>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</si>
  <si>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</si>
  <si>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</si>
  <si>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</si>
  <si>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</si>
  <si>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</si>
  <si>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</si>
  <si>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</si>
  <si>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</si>
  <si>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</si>
  <si>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</si>
  <si>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</si>
  <si>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</si>
  <si>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</si>
  <si>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</si>
  <si>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</si>
  <si>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</si>
  <si>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</si>
  <si>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</si>
  <si>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</si>
  <si>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</si>
  <si>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</si>
  <si>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</si>
  <si>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</si>
  <si>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</si>
  <si>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</si>
  <si>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</si>
  <si>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</si>
  <si>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</si>
  <si>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</si>
  <si>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</si>
  <si>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</si>
  <si>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</si>
  <si>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</si>
  <si>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</si>
  <si>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</si>
  <si>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</si>
  <si>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</si>
  <si>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</si>
  <si>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</si>
  <si>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</si>
  <si>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</si>
  <si>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</si>
  <si>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</si>
  <si>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</si>
  <si>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</si>
  <si>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</si>
  <si>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</si>
  <si>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</si>
  <si>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</si>
  <si>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</si>
  <si>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</si>
  <si>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</si>
  <si>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</si>
  <si>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</si>
  <si>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</si>
  <si>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</si>
  <si>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</si>
  <si>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</si>
  <si>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</si>
  <si>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</si>
  <si>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</si>
  <si>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</si>
  <si>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</si>
  <si>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</si>
  <si>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</si>
  <si>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</si>
  <si>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</si>
  <si>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</si>
  <si>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</si>
  <si>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</si>
  <si>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</si>
  <si>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</si>
  <si>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</si>
  <si>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</si>
  <si>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</si>
  <si>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</si>
  <si>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</si>
  <si>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</si>
  <si>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</si>
  <si>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</si>
  <si>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</si>
  <si>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</si>
  <si>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</si>
  <si>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</si>
  <si>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</si>
  <si>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</si>
  <si>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</si>
  <si>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</si>
  <si>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</si>
  <si>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</si>
  <si>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</si>
  <si>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</si>
  <si>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</si>
  <si>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</si>
  <si>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</si>
  <si>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</si>
  <si>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</si>
  <si>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</si>
  <si>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</si>
  <si>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</si>
  <si>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</si>
  <si>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</si>
  <si>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</si>
  <si>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</si>
  <si>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</si>
  <si>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</si>
  <si>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</si>
  <si>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</si>
  <si>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</si>
  <si>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</si>
  <si>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</si>
  <si>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</si>
  <si>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</si>
  <si>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</si>
  <si>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</si>
  <si>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</si>
  <si>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</si>
  <si>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</si>
  <si>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</si>
  <si>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</si>
  <si>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</si>
  <si>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</si>
  <si>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</si>
  <si>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</si>
  <si>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</si>
  <si>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</si>
  <si>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</si>
  <si>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</si>
  <si>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</si>
  <si>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</si>
  <si>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</si>
  <si>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</si>
  <si>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</si>
  <si>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</si>
  <si>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</si>
  <si>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</si>
  <si>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</si>
  <si>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</si>
  <si>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</si>
  <si>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</si>
  <si>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</si>
  <si>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</si>
  <si>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</si>
  <si>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</si>
  <si>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</si>
  <si>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</si>
  <si>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</si>
  <si>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</si>
  <si>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</si>
  <si>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</si>
  <si>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</si>
  <si>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</si>
  <si>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</si>
  <si>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</si>
  <si>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</si>
  <si>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</si>
  <si>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</si>
  <si>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</si>
  <si>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</si>
  <si>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</si>
  <si>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</si>
  <si>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</si>
  <si>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</si>
  <si>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</si>
  <si>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</si>
  <si>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</si>
  <si>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</si>
  <si>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</si>
  <si>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</si>
  <si>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</si>
  <si>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</si>
  <si>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</si>
  <si>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</si>
  <si>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</si>
  <si>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</si>
  <si>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</si>
  <si>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</si>
  <si>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</si>
  <si>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</si>
  <si>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</si>
  <si>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</si>
  <si>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</si>
  <si>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</si>
  <si>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</si>
  <si>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</si>
  <si>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</si>
  <si>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</si>
  <si>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</si>
  <si>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</si>
  <si>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</si>
  <si>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</si>
  <si>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</si>
  <si>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</si>
  <si>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</si>
  <si>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</si>
  <si>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</si>
  <si>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</si>
  <si>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</si>
  <si>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</si>
  <si>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</si>
  <si>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</si>
  <si>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</si>
  <si>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</si>
  <si>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</si>
  <si>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</si>
  <si>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</si>
  <si>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</si>
  <si>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</si>
  <si>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</si>
  <si>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</si>
  <si>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</si>
  <si>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</si>
  <si>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</si>
  <si>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</si>
  <si>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</si>
  <si>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</si>
  <si>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</si>
  <si>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</si>
  <si>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</si>
  <si>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</si>
  <si>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</si>
  <si>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</si>
  <si>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</si>
  <si>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</si>
  <si>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</si>
  <si>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</si>
  <si>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</si>
  <si>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</si>
  <si>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</si>
  <si>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</si>
  <si>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</si>
  <si>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</si>
  <si>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</si>
  <si>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</si>
  <si>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</si>
  <si>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</si>
  <si>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</si>
  <si>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</si>
  <si>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</si>
  <si>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</si>
  <si>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</si>
  <si>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</si>
  <si>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</si>
  <si>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</si>
  <si>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</si>
  <si>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</si>
  <si>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</si>
  <si>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</si>
  <si>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</si>
  <si>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</si>
  <si>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</si>
  <si>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</si>
  <si>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</si>
  <si>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</si>
  <si>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</si>
  <si>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</si>
  <si>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</si>
  <si>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</si>
  <si>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</si>
  <si>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</si>
  <si>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</si>
  <si>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</si>
  <si>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</si>
  <si>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</si>
  <si>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</si>
  <si>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</si>
  <si>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</si>
  <si>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</si>
  <si>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</si>
  <si>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</si>
  <si>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</si>
  <si>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</si>
  <si>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</si>
  <si>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</si>
  <si>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</si>
  <si>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</si>
  <si>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</si>
  <si>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</si>
  <si>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</si>
  <si>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</si>
  <si>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</si>
  <si>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</si>
  <si>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</si>
  <si>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</si>
  <si>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</si>
  <si>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</si>
  <si>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</si>
  <si>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</si>
  <si>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</si>
  <si>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</si>
  <si>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</si>
  <si>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</si>
  <si>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</si>
  <si>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</si>
  <si>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</si>
  <si>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</si>
  <si>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</si>
  <si>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</si>
  <si>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</si>
  <si>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</si>
  <si>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</si>
  <si>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</si>
  <si>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</si>
  <si>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</si>
  <si>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</si>
  <si>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</si>
  <si>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</si>
  <si>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</si>
  <si>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</si>
  <si>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</si>
  <si>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</si>
  <si>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</si>
  <si>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</si>
  <si>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</si>
  <si>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</si>
  <si>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</si>
  <si>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</si>
  <si>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</si>
  <si>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</si>
  <si>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</si>
  <si>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</si>
  <si>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</si>
  <si>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</si>
  <si>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</si>
  <si>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</si>
  <si>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</si>
  <si>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</si>
  <si>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</si>
  <si>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</si>
  <si>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</si>
  <si>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</si>
  <si>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</si>
  <si>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</si>
  <si>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</si>
  <si>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</si>
  <si>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</si>
  <si>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</si>
  <si>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</si>
  <si>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</si>
  <si>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</si>
  <si>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</si>
  <si>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</si>
  <si>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</si>
  <si>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</si>
  <si>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</si>
  <si>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</si>
  <si>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</si>
  <si>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</si>
  <si>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</si>
  <si>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</si>
  <si>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</si>
  <si>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</si>
  <si>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</si>
  <si>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</si>
  <si>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</si>
  <si>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</si>
  <si>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</si>
  <si>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</si>
  <si>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</si>
  <si>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</si>
  <si>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</si>
  <si>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</si>
  <si>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</si>
  <si>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</si>
  <si>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</si>
  <si>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</si>
  <si>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</si>
  <si>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</si>
  <si>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</si>
  <si>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</si>
  <si>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</si>
  <si>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</si>
  <si>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</si>
  <si>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</si>
  <si>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</si>
  <si>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</si>
  <si>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</si>
  <si>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</si>
  <si>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</si>
  <si>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</si>
  <si>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</si>
  <si>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</si>
  <si>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</si>
  <si>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</si>
  <si>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</si>
  <si>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</si>
  <si>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</si>
  <si>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</si>
  <si>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</si>
  <si>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</si>
  <si>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</si>
  <si>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</si>
  <si>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</si>
  <si>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</si>
  <si>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</si>
  <si>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</si>
  <si>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</si>
  <si>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</si>
  <si>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</si>
  <si>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</si>
  <si>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</si>
  <si>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</si>
  <si>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</si>
  <si>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</si>
  <si>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</si>
  <si>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</si>
  <si>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</si>
  <si>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</si>
  <si>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</si>
  <si>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</si>
  <si>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</si>
  <si>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</si>
  <si>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</si>
  <si>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</si>
  <si>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</si>
  <si>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</si>
  <si>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</si>
  <si>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</si>
  <si>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</si>
  <si>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</si>
  <si>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</si>
  <si>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</si>
  <si>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</si>
  <si>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</si>
  <si>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</si>
  <si>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</si>
  <si>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</si>
  <si>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</si>
  <si>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</si>
  <si>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</si>
  <si>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</si>
  <si>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</si>
  <si>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</si>
  <si>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</si>
  <si>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</si>
  <si>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</si>
  <si>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</si>
  <si>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</si>
  <si>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</si>
  <si>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</si>
  <si>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</si>
  <si>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</si>
  <si>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</si>
  <si>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</si>
  <si>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</si>
  <si>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</si>
  <si>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</si>
  <si>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</si>
  <si>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</si>
  <si>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</si>
  <si>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</si>
  <si>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</si>
  <si>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</si>
  <si>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</si>
  <si>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</si>
  <si>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</si>
  <si>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</si>
  <si>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</si>
  <si>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</si>
  <si>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</si>
  <si>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</si>
  <si>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</si>
  <si>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</si>
  <si>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</si>
  <si>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</si>
  <si>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</si>
  <si>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</si>
  <si>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</si>
  <si>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</si>
  <si>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</si>
  <si>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</si>
  <si>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</si>
  <si>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</si>
  <si>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</si>
  <si>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</si>
  <si>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</si>
  <si>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</si>
  <si>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</si>
  <si>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</si>
  <si>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</si>
  <si>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</si>
  <si>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</si>
  <si>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</si>
  <si>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</si>
  <si>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</si>
  <si>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</si>
  <si>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</si>
  <si>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</si>
  <si>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</si>
  <si>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</si>
  <si>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</si>
  <si>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</si>
  <si>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</si>
  <si>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</si>
  <si>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</si>
  <si>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</si>
  <si>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</si>
  <si>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</si>
  <si>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</si>
  <si>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</si>
  <si>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</si>
  <si>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</si>
  <si>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</si>
  <si>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</si>
  <si>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</si>
  <si>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</si>
  <si>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</si>
  <si>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</si>
  <si>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</si>
  <si>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</si>
  <si>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</si>
  <si>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</si>
  <si>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</si>
  <si>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</si>
  <si>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</si>
  <si>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</si>
  <si>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</si>
  <si>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</si>
  <si>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</si>
  <si>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</si>
  <si>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</si>
  <si>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</si>
  <si>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</si>
  <si>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</si>
  <si>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</si>
  <si>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</si>
  <si>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</si>
  <si>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</si>
  <si>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</si>
  <si>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</si>
  <si>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</si>
  <si>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</si>
  <si>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</si>
  <si>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</si>
  <si>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</si>
  <si>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</si>
  <si>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</si>
  <si>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</si>
  <si>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</si>
  <si>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</si>
  <si>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</si>
  <si>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</si>
  <si>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</si>
  <si>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</si>
  <si>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</si>
  <si>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</si>
  <si>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</si>
  <si>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</si>
  <si>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</si>
  <si>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</si>
  <si>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</si>
  <si>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</si>
  <si>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</si>
  <si>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</si>
  <si>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</si>
  <si>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</si>
  <si>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</si>
  <si>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</si>
  <si>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</si>
  <si>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</si>
  <si>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</si>
  <si>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</si>
  <si>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</si>
  <si>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</si>
  <si>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</si>
  <si>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</si>
  <si>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</si>
  <si>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</si>
  <si>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</si>
  <si>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</si>
  <si>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</si>
  <si>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</si>
  <si>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</si>
  <si>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</si>
  <si>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</si>
  <si>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</si>
  <si>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</si>
  <si>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</si>
  <si>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</si>
  <si>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</si>
  <si>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</si>
  <si>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</si>
  <si>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</si>
  <si>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</si>
  <si>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</si>
  <si>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</si>
  <si>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</si>
  <si>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</si>
  <si>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</si>
  <si>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</si>
  <si>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</si>
  <si>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</si>
  <si>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KME SE Group affiliates</t>
  </si>
  <si>
    <t xml:space="preserve">KME Germany GmbH; KME Special Products GmbH, KME Italy S.p.A.;Serravalle Copper Tubes S.r.l.;
KME Mansfeld GmbH; KME Rolled France SAS;Tréfimétaux SAS;  </t>
  </si>
  <si>
    <t>see above KME SE affiliates</t>
  </si>
  <si>
    <t>Metal Procurement KME Group</t>
  </si>
  <si>
    <t xml:space="preserve">Via Giorgio Saviane 6 Firenze, Italy </t>
  </si>
  <si>
    <t>M.Calamia (Head of Metal Procurement</t>
  </si>
  <si>
    <t>marco.calamia@kme.com</t>
  </si>
  <si>
    <t>0039 055 44111</t>
  </si>
  <si>
    <t>Frank Otten</t>
  </si>
  <si>
    <t>Head Corporate EHSQ-Management</t>
  </si>
  <si>
    <t>Frank.Otten@kme.com</t>
  </si>
  <si>
    <t>00495413211509</t>
  </si>
  <si>
    <t>tin might be naturally occurring within the  pre-material</t>
  </si>
  <si>
    <t>Generic Company policy and Code of Conduct available</t>
  </si>
  <si>
    <t>internal procedure implmented</t>
  </si>
  <si>
    <t xml:space="preserve">The smelter we are currently purchasing tin as prematerial, source the tin from recycling prozess. As we know our suppliers within our supply cahin respect the RMI-Conflict-Free Smelter Program.  </t>
  </si>
  <si>
    <t>document review</t>
  </si>
  <si>
    <r>
      <t>set up procedures, training of involved employees and internal auditing
KME is part of the non-ferrous metal initiative "MARS" - Metal Alliance for Responsible Sourcing -&gt; link</t>
    </r>
    <r>
      <rPr>
        <sz val="10"/>
        <color theme="3"/>
        <rFont val="Cambria"/>
        <family val="1"/>
      </rPr>
      <t xml:space="preserve">: https://mars-alliance.com/  </t>
    </r>
  </si>
  <si>
    <t>Dreef 33</t>
  </si>
  <si>
    <t>conflictfreesourcing@metallo.com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</si>
</sst>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0"/>
      <color theme="3"/>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89" fillId="0" borderId="0"/>
    <xf numFmtId="0" fontId="89"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89"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70" fontId="2" fillId="0" borderId="0"/>
    <xf numFmtId="170"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89" fillId="0" borderId="0"/>
    <xf numFmtId="0" fontId="89" fillId="0" borderId="0"/>
    <xf numFmtId="0" fontId="89" fillId="0" borderId="0"/>
    <xf numFmtId="170" fontId="89" fillId="0" borderId="0"/>
    <xf numFmtId="0" fontId="1" fillId="0" borderId="0"/>
  </cellStyleXfs>
  <cellXfs count="45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7"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7"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70" fontId="53" fillId="0" borderId="0" xfId="480" applyFont="1" applyFill="1" applyAlignment="1">
      <alignment horizontal="left" vertical="top" wrapText="1"/>
    </xf>
    <xf numFmtId="17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0"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70"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70"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70" fontId="53" fillId="0" borderId="0" xfId="480" applyFont="1" applyFill="1" applyBorder="1" applyAlignment="1">
      <alignment vertical="top" wrapText="1"/>
    </xf>
    <xf numFmtId="0" fontId="93" fillId="0" borderId="0" xfId="0" applyFont="1"/>
    <xf numFmtId="170"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0" fontId="25" fillId="0" borderId="48" xfId="570" applyNumberFormat="1" applyFont="1" applyFill="1" applyBorder="1" applyAlignment="1">
      <alignment horizontal="center" vertical="top" wrapText="1"/>
    </xf>
    <xf numFmtId="170" fontId="25" fillId="0" borderId="49" xfId="570" applyNumberFormat="1" applyFont="1" applyFill="1" applyBorder="1" applyAlignment="1">
      <alignment horizontal="center" vertical="top" wrapText="1"/>
    </xf>
    <xf numFmtId="17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pplyProtection="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8" fillId="0" borderId="19" xfId="487" applyBorder="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arco.calamia@km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Frank.Otten@kme.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conflictfreesourcing@metallo.com" TargetMode="External"/><Relationship Id="rId7" Type="http://schemas.openxmlformats.org/officeDocument/2006/relationships/comments" Target="../comments2.xml"/><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vmlDrawing" Target="../drawings/vmlDrawing2.vml"/><Relationship Id="rId5" Type="http://schemas.openxmlformats.org/officeDocument/2006/relationships/drawing" Target="../drawings/drawing5.xml"/><Relationship Id="rId4"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F14" sqref="F14"/>
    </sheetView>
  </sheetViews>
  <sheetFormatPr baseColWidth="10"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3"/>
      <c r="B2" s="38" t="s">
        <v>870</v>
      </c>
      <c r="C2" s="36"/>
      <c r="D2" s="208"/>
      <c r="E2" s="3"/>
      <c r="F2" s="36"/>
      <c r="G2" s="34"/>
    </row>
    <row r="3" spans="1:7">
      <c r="A3" s="363"/>
      <c r="B3" s="5" t="s">
        <v>862</v>
      </c>
      <c r="C3" s="6"/>
      <c r="D3" s="209"/>
      <c r="E3" s="3"/>
      <c r="F3" s="6"/>
      <c r="G3" s="34"/>
    </row>
    <row r="4" spans="1:7" ht="15.75">
      <c r="A4" s="363"/>
      <c r="B4" s="41" t="s">
        <v>872</v>
      </c>
      <c r="C4" s="7"/>
      <c r="D4" s="210"/>
      <c r="E4" s="3"/>
      <c r="F4" s="7"/>
      <c r="G4" s="34"/>
    </row>
    <row r="5" spans="1:7">
      <c r="A5" s="363"/>
      <c r="B5" s="40" t="s">
        <v>1063</v>
      </c>
      <c r="C5" s="4"/>
      <c r="D5" s="211"/>
      <c r="E5" s="3"/>
      <c r="F5" s="4"/>
      <c r="G5" s="34"/>
    </row>
    <row r="6" spans="1:7">
      <c r="A6" s="363"/>
      <c r="B6" s="8"/>
      <c r="C6" s="8"/>
      <c r="D6" s="212"/>
      <c r="E6" s="8"/>
      <c r="F6" s="8"/>
      <c r="G6" s="34"/>
    </row>
    <row r="7" spans="1:7">
      <c r="A7" s="363"/>
      <c r="B7" s="8"/>
      <c r="C7" s="8"/>
      <c r="D7" s="212"/>
      <c r="E7" s="8"/>
      <c r="F7" s="8"/>
      <c r="G7" s="34"/>
    </row>
    <row r="8" spans="1:7">
      <c r="A8" s="363"/>
      <c r="B8" s="8"/>
      <c r="C8" s="8"/>
      <c r="D8" s="212"/>
      <c r="E8" s="8"/>
      <c r="F8" s="8"/>
      <c r="G8" s="34"/>
    </row>
    <row r="9" spans="1:7">
      <c r="A9" s="363"/>
      <c r="B9" s="366" t="s">
        <v>873</v>
      </c>
      <c r="C9" s="366"/>
      <c r="D9" s="366"/>
      <c r="E9" s="366"/>
      <c r="F9" s="366"/>
      <c r="G9" s="34"/>
    </row>
    <row r="10" spans="1:7" ht="27" customHeight="1">
      <c r="A10" s="363"/>
      <c r="B10" s="367" t="s">
        <v>448</v>
      </c>
      <c r="C10" s="367"/>
      <c r="D10" s="367"/>
      <c r="E10" s="367"/>
      <c r="F10" s="367"/>
      <c r="G10" s="34"/>
    </row>
    <row r="11" spans="1:7" ht="27" customHeight="1">
      <c r="A11" s="363"/>
      <c r="B11" s="368"/>
      <c r="C11" s="368"/>
      <c r="D11" s="368"/>
      <c r="E11" s="368"/>
      <c r="F11" s="368"/>
      <c r="G11" s="34"/>
    </row>
    <row r="12" spans="1:7">
      <c r="A12" s="363"/>
      <c r="B12" s="42" t="s">
        <v>871</v>
      </c>
      <c r="C12" s="43" t="s">
        <v>874</v>
      </c>
      <c r="D12" s="213" t="s">
        <v>875</v>
      </c>
      <c r="E12" s="43" t="s">
        <v>628</v>
      </c>
      <c r="F12" s="43" t="s">
        <v>629</v>
      </c>
      <c r="G12" s="34"/>
    </row>
    <row r="13" spans="1:7" ht="33.75">
      <c r="A13" s="363"/>
      <c r="B13" s="2">
        <v>1</v>
      </c>
      <c r="C13" s="37" t="s">
        <v>1111</v>
      </c>
      <c r="D13" s="39" t="s">
        <v>899</v>
      </c>
      <c r="E13" s="196" t="s">
        <v>876</v>
      </c>
      <c r="F13" s="196"/>
      <c r="G13" s="34"/>
    </row>
    <row r="14" spans="1:7" ht="33.75">
      <c r="A14" s="363"/>
      <c r="B14" s="2">
        <v>2</v>
      </c>
      <c r="C14" s="37" t="s">
        <v>1111</v>
      </c>
      <c r="D14" s="39" t="s">
        <v>1048</v>
      </c>
      <c r="E14" s="196" t="s">
        <v>540</v>
      </c>
      <c r="F14" s="196" t="s">
        <v>541</v>
      </c>
      <c r="G14" s="34"/>
    </row>
    <row r="15" spans="1:7" ht="89.1" customHeight="1">
      <c r="A15" s="363"/>
      <c r="B15" s="348">
        <v>2.0099999999999998</v>
      </c>
      <c r="C15" s="360" t="s">
        <v>1111</v>
      </c>
      <c r="D15" s="369" t="s">
        <v>2358</v>
      </c>
      <c r="E15" s="197" t="s">
        <v>630</v>
      </c>
      <c r="F15" s="197" t="s">
        <v>633</v>
      </c>
      <c r="G15" s="34"/>
    </row>
    <row r="16" spans="1:7" ht="99" customHeight="1">
      <c r="A16" s="363"/>
      <c r="B16" s="349"/>
      <c r="C16" s="361"/>
      <c r="D16" s="370"/>
      <c r="E16" s="198"/>
      <c r="F16" s="198" t="s">
        <v>631</v>
      </c>
      <c r="G16" s="34"/>
    </row>
    <row r="17" spans="1:7" ht="63" customHeight="1">
      <c r="A17" s="363"/>
      <c r="B17" s="350"/>
      <c r="C17" s="362"/>
      <c r="D17" s="371"/>
      <c r="E17" s="37"/>
      <c r="F17" s="37" t="s">
        <v>632</v>
      </c>
      <c r="G17" s="34"/>
    </row>
    <row r="18" spans="1:7" ht="117" customHeight="1">
      <c r="A18" s="363"/>
      <c r="B18" s="348">
        <v>2.02</v>
      </c>
      <c r="C18" s="360" t="s">
        <v>1111</v>
      </c>
      <c r="D18" s="369" t="s">
        <v>2359</v>
      </c>
      <c r="E18" s="197" t="s">
        <v>449</v>
      </c>
      <c r="F18" s="197" t="s">
        <v>535</v>
      </c>
      <c r="G18" s="34"/>
    </row>
    <row r="19" spans="1:7" ht="71.099999999999994" customHeight="1">
      <c r="A19" s="363"/>
      <c r="B19" s="349"/>
      <c r="C19" s="361"/>
      <c r="D19" s="370"/>
      <c r="E19" s="198" t="s">
        <v>539</v>
      </c>
      <c r="F19" s="198" t="s">
        <v>450</v>
      </c>
      <c r="G19" s="34"/>
    </row>
    <row r="20" spans="1:7" ht="90.75" customHeight="1">
      <c r="A20" s="363"/>
      <c r="B20" s="349"/>
      <c r="C20" s="361"/>
      <c r="D20" s="370"/>
      <c r="E20" s="198"/>
      <c r="F20" s="198" t="s">
        <v>635</v>
      </c>
      <c r="G20" s="34"/>
    </row>
    <row r="21" spans="1:7" ht="74.25" customHeight="1">
      <c r="A21" s="363"/>
      <c r="B21" s="350"/>
      <c r="C21" s="362"/>
      <c r="D21" s="371"/>
      <c r="E21" s="37"/>
      <c r="F21" s="37" t="s">
        <v>634</v>
      </c>
      <c r="G21" s="34"/>
    </row>
    <row r="22" spans="1:7" ht="90" customHeight="1">
      <c r="A22" s="363"/>
      <c r="B22" s="354">
        <v>2.0299999999999998</v>
      </c>
      <c r="C22" s="354" t="s">
        <v>845</v>
      </c>
      <c r="D22" s="357" t="s">
        <v>2360</v>
      </c>
      <c r="E22" s="360" t="s">
        <v>447</v>
      </c>
      <c r="F22" s="197" t="s">
        <v>470</v>
      </c>
      <c r="G22" s="34"/>
    </row>
    <row r="23" spans="1:7" ht="109.5" customHeight="1">
      <c r="A23" s="363"/>
      <c r="B23" s="355"/>
      <c r="C23" s="355"/>
      <c r="D23" s="358"/>
      <c r="E23" s="361"/>
      <c r="F23" s="198" t="s">
        <v>846</v>
      </c>
      <c r="G23" s="34"/>
    </row>
    <row r="24" spans="1:7" ht="74.25" customHeight="1">
      <c r="A24" s="363"/>
      <c r="B24" s="356"/>
      <c r="C24" s="356"/>
      <c r="D24" s="359"/>
      <c r="E24" s="362"/>
      <c r="F24" s="37" t="s">
        <v>446</v>
      </c>
      <c r="G24" s="34"/>
    </row>
    <row r="25" spans="1:7" ht="72" customHeight="1">
      <c r="A25" s="363"/>
      <c r="B25" s="2" t="s">
        <v>468</v>
      </c>
      <c r="C25" s="37" t="s">
        <v>469</v>
      </c>
      <c r="D25" s="39" t="s">
        <v>2361</v>
      </c>
      <c r="E25" s="37" t="s">
        <v>2356</v>
      </c>
      <c r="F25" s="37" t="s">
        <v>471</v>
      </c>
      <c r="G25" s="34"/>
    </row>
    <row r="26" spans="1:7" ht="98.1" customHeight="1">
      <c r="A26" s="363"/>
      <c r="B26" s="351">
        <v>3</v>
      </c>
      <c r="C26" s="348" t="s">
        <v>72</v>
      </c>
      <c r="D26" s="369" t="s">
        <v>2362</v>
      </c>
      <c r="E26" s="360" t="s">
        <v>0</v>
      </c>
      <c r="F26" s="197" t="s">
        <v>66</v>
      </c>
      <c r="G26" s="34"/>
    </row>
    <row r="27" spans="1:7" ht="90" customHeight="1">
      <c r="A27" s="363"/>
      <c r="B27" s="352"/>
      <c r="C27" s="349"/>
      <c r="D27" s="370"/>
      <c r="E27" s="361"/>
      <c r="F27" s="198" t="s">
        <v>61</v>
      </c>
      <c r="G27" s="34"/>
    </row>
    <row r="28" spans="1:7" ht="19.350000000000001" customHeight="1">
      <c r="A28" s="363"/>
      <c r="B28" s="352"/>
      <c r="C28" s="349"/>
      <c r="D28" s="370"/>
      <c r="E28" s="361"/>
      <c r="F28" s="198" t="s">
        <v>62</v>
      </c>
      <c r="G28" s="34"/>
    </row>
    <row r="29" spans="1:7" ht="74.45" customHeight="1">
      <c r="A29" s="363"/>
      <c r="B29" s="352"/>
      <c r="C29" s="349"/>
      <c r="D29" s="370"/>
      <c r="E29" s="361"/>
      <c r="F29" s="198" t="s">
        <v>63</v>
      </c>
      <c r="G29" s="34"/>
    </row>
    <row r="30" spans="1:7" ht="62.45" customHeight="1">
      <c r="A30" s="363"/>
      <c r="B30" s="352"/>
      <c r="C30" s="349"/>
      <c r="D30" s="370"/>
      <c r="E30" s="361"/>
      <c r="F30" s="198" t="s">
        <v>64</v>
      </c>
      <c r="G30" s="34"/>
    </row>
    <row r="31" spans="1:7" ht="81" customHeight="1">
      <c r="A31" s="363"/>
      <c r="B31" s="352"/>
      <c r="C31" s="349"/>
      <c r="D31" s="370"/>
      <c r="E31" s="361"/>
      <c r="F31" s="198" t="s">
        <v>65</v>
      </c>
      <c r="G31" s="34"/>
    </row>
    <row r="32" spans="1:7" ht="48.75" customHeight="1">
      <c r="A32" s="363"/>
      <c r="B32" s="352"/>
      <c r="C32" s="349"/>
      <c r="D32" s="370"/>
      <c r="E32" s="361"/>
      <c r="F32" s="198" t="s">
        <v>68</v>
      </c>
      <c r="G32" s="34"/>
    </row>
    <row r="33" spans="1:7" ht="98.45" customHeight="1">
      <c r="A33" s="363"/>
      <c r="B33" s="352"/>
      <c r="C33" s="349"/>
      <c r="D33" s="370"/>
      <c r="E33" s="361"/>
      <c r="F33" s="198" t="s">
        <v>67</v>
      </c>
      <c r="G33" s="34"/>
    </row>
    <row r="34" spans="1:7" ht="89.1" customHeight="1">
      <c r="A34" s="363"/>
      <c r="B34" s="352"/>
      <c r="C34" s="349"/>
      <c r="D34" s="370"/>
      <c r="E34" s="361"/>
      <c r="F34" s="198" t="s">
        <v>69</v>
      </c>
      <c r="G34" s="34"/>
    </row>
    <row r="35" spans="1:7" ht="29.1" customHeight="1">
      <c r="A35" s="363"/>
      <c r="B35" s="352"/>
      <c r="C35" s="349"/>
      <c r="D35" s="370"/>
      <c r="E35" s="361"/>
      <c r="F35" s="198" t="s">
        <v>70</v>
      </c>
      <c r="G35" s="34"/>
    </row>
    <row r="36" spans="1:7" ht="126.75">
      <c r="A36" s="363"/>
      <c r="B36" s="353"/>
      <c r="C36" s="350"/>
      <c r="D36" s="371"/>
      <c r="E36" s="362"/>
      <c r="F36" s="199" t="s">
        <v>71</v>
      </c>
      <c r="G36" s="34"/>
    </row>
    <row r="37" spans="1:7" ht="112.5">
      <c r="A37" s="363"/>
      <c r="B37" s="171">
        <v>3.01</v>
      </c>
      <c r="C37" s="172" t="s">
        <v>72</v>
      </c>
      <c r="D37" s="39" t="s">
        <v>2363</v>
      </c>
      <c r="E37" s="200" t="s">
        <v>1351</v>
      </c>
      <c r="F37" s="201" t="s">
        <v>1457</v>
      </c>
      <c r="G37" s="34"/>
    </row>
    <row r="38" spans="1:7" ht="101.25">
      <c r="A38" s="363"/>
      <c r="B38" s="171">
        <v>3.02</v>
      </c>
      <c r="C38" s="172" t="s">
        <v>1384</v>
      </c>
      <c r="D38" s="39" t="s">
        <v>2364</v>
      </c>
      <c r="E38" s="200" t="s">
        <v>1399</v>
      </c>
      <c r="F38" s="201" t="s">
        <v>1458</v>
      </c>
      <c r="G38" s="34"/>
    </row>
    <row r="39" spans="1:7" ht="101.25">
      <c r="A39" s="363"/>
      <c r="B39" s="182">
        <v>4</v>
      </c>
      <c r="C39" s="181" t="s">
        <v>1554</v>
      </c>
      <c r="D39" s="39" t="s">
        <v>2365</v>
      </c>
      <c r="E39" s="37" t="s">
        <v>2307</v>
      </c>
      <c r="F39" s="37" t="s">
        <v>1555</v>
      </c>
      <c r="G39" s="34"/>
    </row>
    <row r="40" spans="1:7" ht="56.25">
      <c r="A40" s="363"/>
      <c r="B40" s="171">
        <v>4.01</v>
      </c>
      <c r="C40" s="181" t="s">
        <v>1554</v>
      </c>
      <c r="D40" s="39" t="s">
        <v>2367</v>
      </c>
      <c r="E40" s="37" t="s">
        <v>2321</v>
      </c>
      <c r="F40" s="37" t="s">
        <v>2326</v>
      </c>
      <c r="G40" s="34"/>
    </row>
    <row r="41" spans="1:7" ht="56.25">
      <c r="A41" s="363"/>
      <c r="B41" s="171" t="s">
        <v>2354</v>
      </c>
      <c r="C41" s="181" t="s">
        <v>1554</v>
      </c>
      <c r="D41" s="39" t="s">
        <v>2366</v>
      </c>
      <c r="E41" s="37" t="s">
        <v>2357</v>
      </c>
      <c r="F41" s="37" t="s">
        <v>2355</v>
      </c>
      <c r="G41" s="34"/>
    </row>
    <row r="42" spans="1:7" ht="56.25">
      <c r="A42" s="363"/>
      <c r="B42" s="171" t="s">
        <v>2399</v>
      </c>
      <c r="C42" s="181" t="s">
        <v>1554</v>
      </c>
      <c r="D42" s="39" t="s">
        <v>2406</v>
      </c>
      <c r="E42" s="37" t="s">
        <v>2356</v>
      </c>
      <c r="F42" s="37" t="s">
        <v>2400</v>
      </c>
      <c r="G42" s="34"/>
    </row>
    <row r="43" spans="1:7" ht="123.75">
      <c r="A43" s="363"/>
      <c r="B43" s="193">
        <v>4.0999999999999996</v>
      </c>
      <c r="C43" s="181" t="s">
        <v>2405</v>
      </c>
      <c r="D43" s="194">
        <v>42867</v>
      </c>
      <c r="E43" s="202" t="s">
        <v>2408</v>
      </c>
      <c r="F43" s="37" t="s">
        <v>2407</v>
      </c>
      <c r="G43" s="34"/>
    </row>
    <row r="44" spans="1:7" ht="78.75">
      <c r="A44" s="363"/>
      <c r="B44" s="193">
        <v>4.2</v>
      </c>
      <c r="C44" s="181" t="s">
        <v>2405</v>
      </c>
      <c r="D44" s="194">
        <v>42704</v>
      </c>
      <c r="E44" s="202" t="s">
        <v>2625</v>
      </c>
      <c r="F44" s="37" t="s">
        <v>2598</v>
      </c>
      <c r="G44" s="34"/>
    </row>
    <row r="45" spans="1:7" ht="157.5">
      <c r="A45" s="363"/>
      <c r="B45" s="243">
        <v>5</v>
      </c>
      <c r="C45" s="181" t="s">
        <v>2405</v>
      </c>
      <c r="D45" s="194">
        <v>42867</v>
      </c>
      <c r="E45" s="202" t="s">
        <v>13032</v>
      </c>
      <c r="F45" s="37" t="s">
        <v>12754</v>
      </c>
      <c r="G45" s="34"/>
    </row>
    <row r="46" spans="1:7" ht="45">
      <c r="A46" s="363"/>
      <c r="B46" s="193">
        <v>5.01</v>
      </c>
      <c r="C46" s="181" t="s">
        <v>2405</v>
      </c>
      <c r="D46" s="194">
        <v>42907</v>
      </c>
      <c r="E46" s="202" t="s">
        <v>13052</v>
      </c>
      <c r="F46" s="37" t="s">
        <v>12754</v>
      </c>
      <c r="G46" s="34"/>
    </row>
    <row r="47" spans="1:7" ht="67.5">
      <c r="A47" s="363"/>
      <c r="B47" s="193">
        <v>5.0999999999999996</v>
      </c>
      <c r="C47" s="181" t="s">
        <v>2405</v>
      </c>
      <c r="D47" s="194">
        <v>43070</v>
      </c>
      <c r="E47" s="202" t="s">
        <v>13247</v>
      </c>
      <c r="F47" s="37" t="s">
        <v>13248</v>
      </c>
      <c r="G47" s="34"/>
    </row>
    <row r="48" spans="1:7" ht="56.25">
      <c r="A48" s="363"/>
      <c r="B48" s="193">
        <v>5.1100000000000003</v>
      </c>
      <c r="C48" s="181" t="s">
        <v>13489</v>
      </c>
      <c r="D48" s="194">
        <v>43217</v>
      </c>
      <c r="E48" s="202" t="s">
        <v>13617</v>
      </c>
      <c r="F48" s="37" t="s">
        <v>13523</v>
      </c>
      <c r="G48" s="34"/>
    </row>
    <row r="49" spans="1:7" ht="56.25">
      <c r="A49" s="363"/>
      <c r="B49" s="193">
        <v>5.12</v>
      </c>
      <c r="C49" s="181" t="s">
        <v>13489</v>
      </c>
      <c r="D49" s="194">
        <v>43581</v>
      </c>
      <c r="E49" s="202" t="s">
        <v>13617</v>
      </c>
      <c r="F49" s="37" t="s">
        <v>14191</v>
      </c>
      <c r="G49" s="34"/>
    </row>
    <row r="50" spans="1:7" ht="78.75">
      <c r="A50" s="363"/>
      <c r="B50" s="243">
        <v>6</v>
      </c>
      <c r="C50" s="181" t="s">
        <v>13489</v>
      </c>
      <c r="D50" s="194">
        <v>43964</v>
      </c>
      <c r="E50" s="202" t="s">
        <v>14433</v>
      </c>
      <c r="F50" s="37" t="s">
        <v>14204</v>
      </c>
      <c r="G50" s="34"/>
    </row>
    <row r="51" spans="1:7" ht="45">
      <c r="A51" s="363"/>
      <c r="B51" s="193">
        <v>6.01</v>
      </c>
      <c r="C51" s="181" t="s">
        <v>13489</v>
      </c>
      <c r="D51" s="194">
        <v>43970</v>
      </c>
      <c r="E51" s="202" t="s">
        <v>15503</v>
      </c>
      <c r="F51" s="202" t="s">
        <v>14204</v>
      </c>
      <c r="G51" s="34"/>
    </row>
    <row r="52" spans="1:7" ht="13.5" thickBot="1">
      <c r="A52" s="364"/>
      <c r="B52" s="365" t="str">
        <f ca="1">OFFSET(L!$C$1,MATCH("General"&amp;"Cpy",L!$A:$A,0)-1,SL,,)</f>
        <v>© 2020 Responsible Minerals Initiative. All rights reserved.</v>
      </c>
      <c r="C52" s="365"/>
      <c r="D52" s="365"/>
      <c r="E52" s="365"/>
      <c r="F52" s="365"/>
      <c r="G52" s="35"/>
    </row>
    <row r="53" spans="1:7" ht="13.5" thickTop="1">
      <c r="A53" s="119"/>
      <c r="B53" s="120"/>
      <c r="C53" s="120"/>
      <c r="D53" s="214"/>
      <c r="E53" s="120"/>
      <c r="F53" s="120"/>
      <c r="G53" s="120"/>
    </row>
  </sheetData>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baseColWidth="10"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Schulung und Beratung, Vorlagen, Responsible Minerals Assurance Process, konforme Schmelzhütten Liste</v>
      </c>
      <c r="B1" s="114" t="s">
        <v>452</v>
      </c>
    </row>
    <row r="2" spans="1:2" ht="30">
      <c r="A2" s="124" t="str">
        <f ca="1">OFFSET(L!$C$1,MATCH("Instructions"&amp;ADDRESS(ROW(),COLUMN(),4),L!$A:$A,0)-1,SL,,)</f>
        <v>Einführung</v>
      </c>
      <c r="B2" s="114" t="s">
        <v>1327</v>
      </c>
    </row>
    <row r="3" spans="1:2" ht="181.5" customHeight="1">
      <c r="A3" s="121" t="str">
        <f ca="1">OFFSET(L!$C$1,MATCH("Instructions"&amp;ADDRESS(ROW(),COLUMN(),4),L!$A:$A,0)-1,SL,,)</f>
        <v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v>
      </c>
      <c r="B3" s="114" t="s">
        <v>1328</v>
      </c>
    </row>
    <row r="4" spans="1:2" ht="189.95" customHeight="1">
      <c r="A4" s="121"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14" t="s">
        <v>1334</v>
      </c>
    </row>
    <row r="5" spans="1:2" ht="15">
      <c r="A5" s="125"/>
      <c r="B5" s="114"/>
    </row>
    <row r="6" spans="1:2" ht="30">
      <c r="A6" s="124" t="str">
        <f ca="1">OFFSET(L!$C$1,MATCH("Instructions"&amp;ADDRESS(ROW(),COLUMN(),4),L!$A:$A,0)-1,SL,,)</f>
        <v>Anleitung zum Ausfüllen von Informationen zu Unternehmen (Zeilen 8 - 22).  Die Kommentare nur in englischer Sprache.</v>
      </c>
      <c r="B6" s="114" t="s">
        <v>1327</v>
      </c>
    </row>
    <row r="7" spans="1:2" ht="15">
      <c r="A7" s="294" t="str">
        <f ca="1">OFFSET(L!$C$1,MATCH("Instructions"&amp;ADDRESS(ROW(),COLUMN(),4),L!$A:$A,0)-1,SL,,)</f>
        <v>Hinweis: Eingaben mit (*) sind Pflichtfelder</v>
      </c>
      <c r="B7" s="114"/>
    </row>
    <row r="8" spans="1:2" ht="30">
      <c r="A8" s="121" t="str">
        <f ca="1">OFFSET(L!$C$1,MATCH("Instructions"&amp;ADDRESS(ROW(),COLUMN(),4),L!$A:$A,0)-1,SL,,)</f>
        <v>1. Geben Sie hier den rechtmäßigen Firmennamen Ihres Unternehmens ein. Bitte verwenden Sie keine Abkürzungen. In diesem Feld haben Sie die Möglichkeit, weitere Geschäftsnamen, DBAs usw. hinzuzufügen.</v>
      </c>
      <c r="B8" s="114"/>
    </row>
    <row r="9" spans="1:2" ht="309.95" customHeight="1">
      <c r="A9" s="177"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4" t="s">
        <v>1326</v>
      </c>
    </row>
    <row r="10" spans="1:2" ht="36" customHeight="1">
      <c r="A10" s="121" t="str">
        <f ca="1">OFFSET(L!$C$1,MATCH("Instructions"&amp;ADDRESS(ROW(),COLUMN(),4),L!$A:$A,0)-1,SL,,)</f>
        <v>3.Geben sie ihre eindeutige Firmenidentifikationsnummer (DUNS Nummer, Steuernummer, Kunden-spezifische Kennung, etc.) ein</v>
      </c>
      <c r="B10" s="114"/>
    </row>
    <row r="11" spans="1:2" ht="35.25" customHeight="1">
      <c r="A11" s="121" t="str">
        <f ca="1">OFFSET(L!$C$1,MATCH("Instructions"&amp;ADDRESS(ROW(),COLUMN(),4),L!$A:$A,0)-1,SL,,)</f>
        <v>4. Geben Sie die Quelle für die eindeutige Kennung oder Code ( "DUNS",  "MWST","Kunde", etc. ) an.</v>
      </c>
      <c r="B11" s="114"/>
    </row>
    <row r="12" spans="1:2" ht="30">
      <c r="A12" s="121" t="str">
        <f ca="1">OFFSET(L!$C$1,MATCH("Instructions"&amp;ADDRESS(ROW(),COLUMN(),4),L!$A:$A,0)-1,SL,,)</f>
        <v>5. Geben Sie Ihre vollständige Firmenanschrift an (Straße, Stadt, Postleitzahl,  Bundesland).  Dieses Feld ist optional.</v>
      </c>
      <c r="B12" s="114" t="s">
        <v>1327</v>
      </c>
    </row>
    <row r="13" spans="1:2" ht="33.75" customHeight="1">
      <c r="A13" s="121" t="str">
        <f ca="1">OFFSET(L!$C$1,MATCH("Instructions"&amp;ADDRESS(ROW(),COLUMN(),4),L!$A:$A,0)-1,SL,,)</f>
        <v>6. Geben Sie den Namen der Kontaktperson zum Inhalt der Erklärung an. Dies ist ein obligatorisches Feld.</v>
      </c>
      <c r="B13" s="114"/>
    </row>
    <row r="14" spans="1:2" ht="45">
      <c r="A14" s="121"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4"/>
    </row>
    <row r="15" spans="1:2" ht="15">
      <c r="A15" s="121" t="str">
        <f ca="1">OFFSET(L!$C$1,MATCH("Instructions"&amp;ADDRESS(ROW(),COLUMN(),4),L!$A:$A,0)-1,SL,,)</f>
        <v>8. Geben Sie die Telefonnummer des Kontakts an. Dies ist ein obligatorisches Feld.</v>
      </c>
      <c r="B15" s="114"/>
    </row>
    <row r="16" spans="1:2" ht="45">
      <c r="A16" s="121"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4"/>
    </row>
    <row r="17" spans="1:2" ht="15">
      <c r="A17" s="121" t="str">
        <f ca="1">OFFSET(L!$C$1,MATCH("Instructions"&amp;ADDRESS(ROW(),COLUMN(),4),L!$A:$A,0)-1,SL,,)</f>
        <v>10. Geben Sie den Titel für den Namen des Bevollmächtigten an. Dieses Feld ist optional.</v>
      </c>
      <c r="B17" s="114"/>
    </row>
    <row r="18" spans="1:2" ht="45">
      <c r="A18" s="121"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4"/>
    </row>
    <row r="19" spans="1:2" ht="15">
      <c r="A19" s="121" t="str">
        <f ca="1">OFFSET(L!$C$1,MATCH("Instructions"&amp;ADDRESS(ROW(),COLUMN(),4),L!$A:$A,0)-1,SL,,)</f>
        <v>12. Fügen Sie die Telefonnummer der freigabeberechtigten Person ein. Das Ausfüllen dieses Feldes ist freiwillig.</v>
      </c>
      <c r="B19" s="114"/>
    </row>
    <row r="20" spans="1:2" ht="33.75" customHeight="1">
      <c r="A20" s="121" t="str">
        <f ca="1">OFFSET(L!$C$1,MATCH("Instructions"&amp;ADDRESS(ROW(),COLUMN(),4),L!$A:$A,0)-1,SL,,)</f>
        <v>13. Bitte geben Sie das Datum der Fertigstellung für dieses Formblatt mit dem Format TT-MMM-JJJJ ein. Dies ist ein obligatorisches Feld.</v>
      </c>
      <c r="B20" s="114"/>
    </row>
    <row r="21" spans="1:2" ht="30">
      <c r="A21" s="121" t="str">
        <f ca="1">OFFSET(L!$C$1,MATCH("Instructions"&amp;ADDRESS(ROW(),COLUMN(),4),L!$A:$A,0)-1,SL,,)</f>
        <v>14. Zum Beispiel kann der Benutzer die Datei unter dem Namen speichern: companyname-datum.xls (Datum im Format JJJJ-MM-TT).</v>
      </c>
      <c r="B21" s="114" t="s">
        <v>1327</v>
      </c>
    </row>
    <row r="22" spans="1:2" ht="15">
      <c r="A22" s="125"/>
      <c r="B22" s="114"/>
    </row>
    <row r="23" spans="1:2" ht="30">
      <c r="A23" s="124" t="str">
        <f ca="1">OFFSET(L!$C$1,MATCH("Instructions"&amp;ADDRESS(ROW(),COLUMN(),4),L!$A:$A,0)-1,SL,,)</f>
        <v>Anweisungen zum Ausfüllen der acht Fragen zur Sorgfaltsprüfung (Zeilen 24 - 71).
Bitte geben Sie Ihre Antworten nur auf ENGLISCH</v>
      </c>
      <c r="B23" s="114" t="s">
        <v>1327</v>
      </c>
    </row>
    <row r="24" spans="1:2" ht="75">
      <c r="A24" s="121"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4" t="s">
        <v>1330</v>
      </c>
    </row>
    <row r="25" spans="1:2" ht="60">
      <c r="A25" s="121"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v>
      </c>
      <c r="B25" s="114" t="s">
        <v>1327</v>
      </c>
    </row>
    <row r="26" spans="1:2" ht="276.75" customHeight="1">
      <c r="A26" s="121"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4" t="s">
        <v>1327</v>
      </c>
    </row>
    <row r="27" spans="1:2" ht="30">
      <c r="A27" s="121" t="str">
        <f ca="1">OFFSET(L!$C$1,MATCH("Instructions"&amp;ADDRESS(ROW(),COLUMN(),4),L!$A:$A,0)-1,SL,,)</f>
        <v>Manche Unternehmen benötigen eine Begründung für eine "Nein" -Antwort im Kommentarfeld</v>
      </c>
      <c r="B27" s="114" t="s">
        <v>1327</v>
      </c>
    </row>
    <row r="28" spans="1:2" ht="247.5" customHeight="1">
      <c r="A28" s="121"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4"/>
    </row>
    <row r="29" spans="1:2" ht="180">
      <c r="A29" s="121"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14" t="s">
        <v>1327</v>
      </c>
    </row>
    <row r="30" spans="1:2" ht="152.1" customHeight="1">
      <c r="A30" s="121"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14"/>
    </row>
    <row r="31" spans="1:2" ht="153" customHeight="1">
      <c r="A31" s="121"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14" t="s">
        <v>1327</v>
      </c>
    </row>
    <row r="32" spans="1:2" ht="210">
      <c r="A32" s="121"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14" t="s">
        <v>1330</v>
      </c>
    </row>
    <row r="33" spans="1:2" ht="60">
      <c r="A33" s="121"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14"/>
    </row>
    <row r="34" spans="1:2" ht="60">
      <c r="A34" s="121"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14" t="s">
        <v>1327</v>
      </c>
    </row>
    <row r="35" spans="1:2" ht="15">
      <c r="A35" s="121" t="str">
        <f ca="1">OFFSET(L!$C$1,MATCH("Instructions"&amp;ADDRESS(ROW(),COLUMN(),4),L!$A:$A,0)-1,SL,,)</f>
        <v>Geben Sie, falls notwendig, Anmerkungen im Kommentarbereich ein, die für eine Klarstellung ihrer Antwort hilfreich sind.</v>
      </c>
      <c r="B35" s="114"/>
    </row>
    <row r="36" spans="1:2" ht="15">
      <c r="A36" s="125"/>
      <c r="B36" s="114"/>
    </row>
    <row r="37" spans="1:2" ht="45">
      <c r="A37" s="124"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14" t="s">
        <v>1327</v>
      </c>
    </row>
    <row r="38" spans="1:2" ht="135">
      <c r="A38" s="121" t="str">
        <f ca="1">OFFSET(L!$C$1,MATCH("Instructions"&amp;ADDRESS(ROW(),COLUMN(),4),L!$A:$A,0)-1,SL,,)</f>
        <v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v>
      </c>
      <c r="B38" s="114" t="s">
        <v>1329</v>
      </c>
    </row>
    <row r="39" spans="1:2" ht="60">
      <c r="A39" s="121"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14"/>
    </row>
    <row r="40" spans="1:2" ht="75">
      <c r="A40" s="121"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14"/>
    </row>
    <row r="41" spans="1:2" ht="75">
      <c r="A41" s="121" t="str">
        <f ca="1">OFFSET(L!$C$1,MATCH("Instructions"&amp;ADDRESS(ROW(),COLUMN(),4),L!$A:$A,0)-1,SL,,)</f>
        <v>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v>
      </c>
      <c r="B41" s="114" t="s">
        <v>1332</v>
      </c>
    </row>
    <row r="42" spans="1:2" ht="210">
      <c r="A42" s="121" t="str">
        <f ca="1">OFFSET(L!$C$1,MATCH("Instructions"&amp;ADDRESS(ROW(),COLUMN(),4),L!$A:$A,0)-1,SL,,)</f>
        <v>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14" t="s">
        <v>1330</v>
      </c>
    </row>
    <row r="43" spans="1:2" ht="165">
      <c r="A43" s="121"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4" t="s">
        <v>1331</v>
      </c>
    </row>
    <row r="44" spans="1:2" ht="135">
      <c r="A44" s="121"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4" t="s">
        <v>1327</v>
      </c>
    </row>
    <row r="45" spans="1:2" ht="120">
      <c r="A45" s="121"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4" t="s">
        <v>1328</v>
      </c>
    </row>
    <row r="46" spans="1:2" ht="69.599999999999994" customHeight="1">
      <c r="A46" s="121"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14" t="s">
        <v>1327</v>
      </c>
    </row>
    <row r="47" spans="1:2" ht="15">
      <c r="A47" s="125"/>
      <c r="B47" s="114"/>
    </row>
    <row r="48" spans="1:2" ht="30">
      <c r="A48" s="124" t="str">
        <f ca="1">OFFSET(L!$C$1,MATCH("Instructions"&amp;ADDRESS(ROW(),COLUMN(),4),L!$A:$A,0)-1,SL,,)</f>
        <v>Anleitung zum Ausfüllen des Reiters "Smelter List". Bitte machen Sie ihre Angaben nur in englischer Sprache.</v>
      </c>
      <c r="B48" s="114" t="s">
        <v>1327</v>
      </c>
    </row>
    <row r="49" spans="1:2" ht="22.5" customHeight="1">
      <c r="A49" s="294" t="str">
        <f ca="1">OFFSET(L!$C$1,MATCH("Instructions"&amp;ADDRESS(ROW(),COLUMN(),4),L!$A:$A,0)-1,SL,,)</f>
        <v>Hinweis: Spalten mit (*) sind Pflichtfelder</v>
      </c>
      <c r="B49" s="114"/>
    </row>
    <row r="50" spans="1:2" ht="60">
      <c r="A50" s="121" t="str">
        <f ca="1">OFFSET(L!$C$1,MATCH("Instructions"&amp;ADDRESS(ROW(),COLUMN(),4),L!$A:$A,0)-1,SL,,)</f>
        <v>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v>
      </c>
      <c r="B50" s="114" t="s">
        <v>1326</v>
      </c>
    </row>
    <row r="51" spans="1:2" ht="30">
      <c r="A51" s="121" t="str">
        <f ca="1">OFFSET(L!$C$1,MATCH("Instructions"&amp;ADDRESS(ROW(),COLUMN(),4),L!$A:$A,0)-1,SL,,)</f>
        <v>1. Eingabespalte Schmelzofenidentifizierung – Wenn Sie die Schmelzofenidentifizierungsnummer kennen, geben Sie die Nummer in Spalte A ein (Spalten B, C, E, F, G, I und J füllen sich automatisch aus).  Spalte A füllt sich nicht automatisch aus.</v>
      </c>
      <c r="B51" s="114" t="s">
        <v>1327</v>
      </c>
    </row>
    <row r="52" spans="1:2" ht="30">
      <c r="A52" s="121" t="str">
        <f ca="1">OFFSET(L!$C$1,MATCH("Instructions"&amp;ADDRESS(ROW(),COLUMN(),4),L!$A:$A,0)-1,SL,,)</f>
        <v>2.  Metall ( * ) - Verwenden Sie das Pull-down-Menü, um das Metall auszuwählen,  für welches Sie Informationen über den Schmelzer eingeben. Dies ist ein Pflichteingabefeld.</v>
      </c>
      <c r="B52" s="114"/>
    </row>
    <row r="53" spans="1:2" ht="75">
      <c r="A53" s="189" t="str">
        <f ca="1">OFFSET(L!$C$1,MATCH("Instructions"&amp;ADDRESS(ROW(),COLUMN(),4),L!$A:$A,0)-1,SL,,)</f>
        <v>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v>
      </c>
      <c r="B53" s="114" t="s">
        <v>1327</v>
      </c>
    </row>
    <row r="54" spans="1:2" ht="60">
      <c r="A54" s="121" t="str">
        <f ca="1">OFFSET(L!$C$1,MATCH("Instructions"&amp;ADDRESS(ROW(),COLUMN(),4),L!$A:$A,0)-1,SL,,)</f>
        <v>4. Schmelzer Name ( 1 ) - Füllen Sie den Namen des Schmelzers in Spalte C ein, wenn Sie  "Schmelzer nicht aufgelistet" ausgewählt haben.  Dieses Feld wird automatisch ausgefüllt, wenn ein Schmelzer in Spalte C ausgewählt wurde. Dies ist ein Pflichteingabefeld.</v>
      </c>
      <c r="B54" s="114" t="s">
        <v>1326</v>
      </c>
    </row>
    <row r="55" spans="1:2" ht="75">
      <c r="A55" s="121" t="str">
        <f ca="1">OFFSET(L!$C$1,MATCH("Instructions"&amp;ADDRESS(ROW(),COLUMN(),4),L!$A:$A,0)-1,SL,,)</f>
        <v>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v>
      </c>
      <c r="B55" s="114" t="s">
        <v>1332</v>
      </c>
    </row>
    <row r="56" spans="1:2" ht="60">
      <c r="A56" s="121" t="str">
        <f ca="1">OFFSET(L!$C$1,MATCH("Instructions"&amp;ADDRESS(ROW(),COLUMN(),4),L!$A:$A,0)-1,SL,,)</f>
        <v>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v>
      </c>
      <c r="B56" s="114" t="s">
        <v>1326</v>
      </c>
    </row>
    <row r="57" spans="1:2" ht="60">
      <c r="A57" s="121" t="str">
        <f ca="1">OFFSET(L!$C$1,MATCH("Instructions"&amp;ADDRESS(ROW(),COLUMN(),4),L!$A:$A,0)-1,SL,,)</f>
        <v>7. Quelle der Schmelzer Identifikationsnummer - das ist die Quelle des Schmelzers, welche  in der Spalte F eingegeben wurde. Wenn ein Schmelzofen aus der Drop-down Box in Spalte C ausgewählt wurde, dann wird dieses Feld automatisch aufgefüllt werden.</v>
      </c>
      <c r="B57" s="114" t="s">
        <v>1326</v>
      </c>
    </row>
    <row r="58" spans="1:2" ht="60">
      <c r="A58" s="121" t="str">
        <f ca="1">OFFSET(L!$C$1,MATCH("Instructions"&amp;ADDRESS(ROW(),COLUMN(),4),L!$A:$A,0)-1,SL,,)</f>
        <v>8. Straße des Schmelzofens – Geben Sie den Straßennamen des Schmelzofenstandortes an. Das Ausfüllen dieses Feldes ist freiwillig.</v>
      </c>
      <c r="B58" s="114" t="s">
        <v>1326</v>
      </c>
    </row>
    <row r="59" spans="1:2" ht="30">
      <c r="A59" s="121" t="str">
        <f ca="1">OFFSET(L!$C$1,MATCH("Instructions"&amp;ADDRESS(ROW(),COLUMN(),4),L!$A:$A,0)-1,SL,,)</f>
        <v>9. Ort des Schmelzofens – Geben Sie den Namen des Ortes an, in dem sich der Schmelzofen befindet. Das Ausfüllen dieses Feldes ist freiwillig.</v>
      </c>
      <c r="B59" s="114" t="s">
        <v>1327</v>
      </c>
    </row>
    <row r="60" spans="1:2" ht="45" customHeight="1">
      <c r="A60" s="121" t="str">
        <f ca="1">OFFSET(L!$C$1,MATCH("Instructions"&amp;ADDRESS(ROW(),COLUMN(),4),L!$A:$A,0)-1,SL,,)</f>
        <v>10. Standort des Schmelzofens: Ggf. Bundesland/Region/Provinz – Geben Sie das Bundesland oder die Region/Provinz des Schmelzofenstandortes an. Das Ausfüllen dieses Feldes ist freiwillig.</v>
      </c>
      <c r="B60" s="114" t="s">
        <v>1330</v>
      </c>
    </row>
    <row r="61" spans="1:2" ht="195">
      <c r="A61" s="121" t="str">
        <f ca="1">OFFSET(L!$C$1,MATCH("Instructions"&amp;ADDRESS(ROW(),COLUMN(),4),L!$A:$A,0)-1,SL,,)</f>
        <v>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14" t="s">
        <v>1330</v>
      </c>
    </row>
    <row r="62" spans="1:2" ht="60">
      <c r="A62" s="121" t="str">
        <f ca="1">OFFSET(L!$C$1,MATCH("Instructions"&amp;ADDRESS(ROW(),COLUMN(),4),L!$A:$A,0)-1,SL,,)</f>
        <v>12. Schmelzer Kontakt-E-Mail - Tragen Sie die E-mail Adresse des Ansprechpartners des Schmelzers ein. Zum Beispiel:   John.Smith@SmelterXXX.com.  Lesen Sie bitte die Anweisungen für die Eingabe des Ansprechpartners  vor der Eingabe des Kontakt Namens.</v>
      </c>
      <c r="B62" s="114" t="s">
        <v>1326</v>
      </c>
    </row>
    <row r="63" spans="1:2" ht="105">
      <c r="A63" s="121" t="str">
        <f ca="1">OFFSET(L!$C$1,MATCH("Instructions"&amp;ADDRESS(ROW(),COLUMN(),4),L!$A:$A,0)-1,SL,,)</f>
        <v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v>
      </c>
      <c r="B63" s="114" t="s">
        <v>1326</v>
      </c>
    </row>
    <row r="64" spans="1:2" ht="120">
      <c r="A64" s="121" t="str">
        <f ca="1">OFFSET(L!$C$1,MATCH("Instructions"&amp;ADDRESS(ROW(),COLUMN(),4),L!$A:$A,0)-1,SL,,)</f>
        <v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v>
      </c>
      <c r="B64" s="114"/>
    </row>
    <row r="65" spans="1:2" ht="90">
      <c r="A65" s="121" t="str">
        <f ca="1">OFFSET(L!$C$1,MATCH("Instructions"&amp;ADDRESS(ROW(),COLUMN(),4),L!$A:$A,0)-1,SL,,)</f>
        <v>15. Zeigt an, ob der Schmelzofen seine Materialien für seine(n) Schmelzprozess(e) ausschließlich aus Recycling oder Schrott bezieht. Diese Frage ist optional.  Erlaubte Antworten auf diese Frage sind:
- Ja
- Nein
- Unbekannt</v>
      </c>
      <c r="B65" s="114"/>
    </row>
    <row r="66" spans="1:2" ht="110.25" customHeight="1">
      <c r="A66" s="121" t="str">
        <f ca="1">OFFSET(L!$C$1,MATCH("Instructions"&amp;ADDRESS(ROW(),COLUMN(),4),L!$A:$A,0)-1,SL,,)</f>
        <v xml:space="preserve">16. Anmerkungen - geben Sie Ihre Anmerkungen zu den Schmelzhütten in das Textfeld ein. Beispiel: Smelter is being acquired by Company YYY </v>
      </c>
      <c r="B66" s="114"/>
    </row>
    <row r="67" spans="1:2" s="28" customFormat="1" ht="15">
      <c r="A67" s="126"/>
      <c r="B67" s="114"/>
    </row>
    <row r="68" spans="1:2" s="28" customFormat="1" ht="34.5" customHeight="1">
      <c r="A68" s="124" t="str">
        <f ca="1">OFFSET(L!$C$1,MATCH("Instructions"&amp;ADDRESS(ROW(),COLUMN(),4),L!$A:$A,0)-1,SL,,)</f>
        <v>Allgemeine Geschäftsbedingungen (AGB)</v>
      </c>
      <c r="B68" s="114"/>
    </row>
    <row r="69" spans="1:2" s="28" customFormat="1" ht="15">
      <c r="A69" s="126"/>
      <c r="B69" s="114"/>
    </row>
    <row r="70" spans="1:2" ht="75">
      <c r="A70" s="124"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14" t="s">
        <v>1327</v>
      </c>
    </row>
    <row r="71" spans="1:2" ht="93.6" customHeight="1">
      <c r="A71" s="294"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14" t="s">
        <v>1333</v>
      </c>
    </row>
    <row r="72" spans="1:2" ht="150">
      <c r="A72" s="294"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14" t="s">
        <v>1331</v>
      </c>
    </row>
    <row r="73" spans="1:2" ht="75">
      <c r="A73" s="294"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Posten</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Zinn, Tantal, Wolfram, gold</v>
      </c>
      <c r="D3" s="376"/>
      <c r="E3" s="128" t="s">
        <v>1335</v>
      </c>
    </row>
    <row r="4" spans="1:5" ht="63.75" customHeight="1">
      <c r="A4" s="87"/>
      <c r="B4" s="74" t="str">
        <f ca="1">OFFSET(L!$C$1,MATCH("Definitions"&amp;ADDRESS(ROW(),COLUMN(),4),L!$A:$A,0)-1,SL,,)</f>
        <v>Bevollmächtigter</v>
      </c>
      <c r="C4" s="74"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76"/>
      <c r="E4" s="128"/>
    </row>
    <row r="5" spans="1:5" ht="64.5" customHeight="1">
      <c r="A5" s="87"/>
      <c r="B5" s="74" t="str">
        <f ca="1">OFFSET(L!$C$1,MATCH("Definitions"&amp;ADDRESS(ROW(),COLUMN(),4),L!$A:$A,0)-1,SL,,)</f>
        <v>Konflikt- und Hochrisikogebiete (CAHRA)</v>
      </c>
      <c r="C5" s="74"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76"/>
      <c r="E5" s="128"/>
    </row>
    <row r="6" spans="1:5" ht="120">
      <c r="A6" s="87"/>
      <c r="B6" s="74" t="str">
        <f ca="1">OFFSET(L!$C$1,MATCH("Definitions"&amp;ADDRESS(ROW(),COLUMN(),4),L!$A:$A,0)-1,SL,,)</f>
        <v>Konfliktmineral</v>
      </c>
      <c r="C6" s="74"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76"/>
      <c r="E6" s="128" t="s">
        <v>1336</v>
      </c>
    </row>
    <row r="7" spans="1:5" ht="75" customHeight="1">
      <c r="A7" s="87"/>
      <c r="B7" s="74" t="str">
        <f ca="1">OFFSET(L!$C$1,MATCH("Definitions"&amp;ADDRESS(ROW(),COLUMN(),4),L!$A:$A,0)-1,SL,,)</f>
        <v>umfassendes Land(er)</v>
      </c>
      <c r="C7" s="74"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76"/>
      <c r="E7" s="128" t="s">
        <v>1336</v>
      </c>
    </row>
    <row r="8" spans="1:5" ht="135">
      <c r="A8" s="87"/>
      <c r="B8" s="74" t="str">
        <f ca="1">OFFSET(L!$C$1,MATCH("Definitions"&amp;ADDRESS(ROW(),COLUMN(),4),L!$A:$A,0)-1,SL,,)</f>
        <v>Erklärung Anwendungsbereich oder Klasse</v>
      </c>
      <c r="C8" s="74"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76"/>
      <c r="E8" s="128" t="s">
        <v>1339</v>
      </c>
    </row>
    <row r="9" spans="1:5" ht="60">
      <c r="A9" s="87"/>
      <c r="B9" s="74" t="str">
        <f ca="1">OFFSET(L!$C$1,MATCH("Definitions"&amp;ADDRESS(ROW(),COLUMN(),4),L!$A:$A,0)-1,SL,,)</f>
        <v>Dodd-Frank</v>
      </c>
      <c r="C9" s="74" t="str">
        <f ca="1">OFFSET(L!$C$1,MATCH("Definitions"&amp;ADDRESS(ROW(),COLUMN(),4),L!$A:$A,0)-1,SL,,)</f>
        <v>2010 US Gesetzgebung, Dodd-Frank-Walls Street Reform and Consumer Protection Art, Section 1502 ("Dodd-Frank") (http://www.sec.gov/about/laws/wallstreetreform-cpa.pdf)</v>
      </c>
      <c r="D9" s="376"/>
      <c r="E9" s="128" t="s">
        <v>1336</v>
      </c>
    </row>
    <row r="10" spans="1:5" ht="45">
      <c r="A10" s="87"/>
      <c r="B10" s="74" t="str">
        <f ca="1">OFFSET(L!$C$1,MATCH("Definitions"&amp;ADDRESS(ROW(),COLUMN(),4),L!$A:$A,0)-1,SL,,)</f>
        <v>DRK</v>
      </c>
      <c r="C10" s="74" t="str">
        <f ca="1">OFFSET(L!$C$1,MATCH("Definitions"&amp;ADDRESS(ROW(),COLUMN(),4),L!$A:$A,0)-1,SL,,)</f>
        <v>Demokratische Republik Kongo</v>
      </c>
      <c r="D10" s="376"/>
      <c r="E10" s="128" t="s">
        <v>1335</v>
      </c>
    </row>
    <row r="11" spans="1:5" ht="75" hidden="1">
      <c r="A11" s="87"/>
      <c r="B11" s="74" t="str">
        <f ca="1">OFFSET(L!$C$1,MATCH("Definitions"&amp;ADDRESS(ROW(),COLUMN(),4),L!$A:$A,0)-1,SL,,)</f>
        <v>DRK Konflikt-Frei</v>
      </c>
      <c r="C11" s="74"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76"/>
      <c r="E11" s="128" t="s">
        <v>1335</v>
      </c>
    </row>
    <row r="12" spans="1:5" ht="75">
      <c r="A12" s="87"/>
      <c r="B12" s="74" t="str">
        <f ca="1">OFFSET(L!$C$1,MATCH("Definitions"&amp;ADDRESS(ROW(),COLUMN(),4),L!$A:$A,0)-1,SL,,)</f>
        <v>Gold (Au) Raffinerie (Schmelzhutte)</v>
      </c>
      <c r="C12" s="74"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76"/>
      <c r="E12" s="128" t="s">
        <v>1335</v>
      </c>
    </row>
    <row r="13" spans="1:5" ht="107.25" customHeight="1">
      <c r="A13" s="87"/>
      <c r="B13" s="74" t="str">
        <f ca="1">OFFSET(L!$C$1,MATCH("Definitions"&amp;ADDRESS(ROW(),COLUMN(),4),L!$A:$A,0)-1,SL,,)</f>
        <v>Unabhängige Private Wirtschaftsprüfungsgesellschaft</v>
      </c>
      <c r="C13" s="74" t="str">
        <f ca="1">OFFSET(L!$C$1,MATCH("Definitions"&amp;ADDRESS(ROW(),COLUMN(),4),L!$A:$A,0)-1,SL,,)</f>
        <v>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76"/>
      <c r="E13" s="128" t="s">
        <v>1337</v>
      </c>
    </row>
    <row r="14" spans="1:5" ht="303.75" customHeight="1">
      <c r="A14" s="87"/>
      <c r="B14" s="74" t="str">
        <f ca="1">OFFSET(L!$C$1,MATCH("Definitions"&amp;ADDRESS(ROW(),COLUMN(),4),L!$A:$A,0)-1,SL,,)</f>
        <v>Absichtlich hinzugefügt</v>
      </c>
      <c r="C14" s="74"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76"/>
      <c r="E14" s="128" t="s">
        <v>1335</v>
      </c>
    </row>
    <row r="15" spans="1:5" ht="150">
      <c r="A15" s="87"/>
      <c r="B15" s="74" t="str">
        <f ca="1">OFFSET(L!$C$1,MATCH("Definitions"&amp;ADDRESS(ROW(),COLUMN(),4),L!$A:$A,0)-1,SL,,)</f>
        <v>IPC</v>
      </c>
      <c r="C15" s="74"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76"/>
      <c r="E15" s="128" t="s">
        <v>1335</v>
      </c>
    </row>
    <row r="16" spans="1:5" ht="75">
      <c r="A16" s="87"/>
      <c r="B16" s="74" t="str">
        <f ca="1">OFFSET(L!$C$1,MATCH("Definitions"&amp;ADDRESS(ROW(),COLUMN(),4),L!$A:$A,0)-1,SL,,)</f>
        <v>IPC-1755 Responsible Minerals Data Exchange Standard</v>
      </c>
      <c r="C16" s="74"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76"/>
      <c r="E16" s="128" t="s">
        <v>1335</v>
      </c>
    </row>
    <row r="17" spans="1:5" ht="255">
      <c r="A17" s="87"/>
      <c r="B17" s="74" t="str">
        <f ca="1">OFFSET(L!$C$1,MATCH("Definitions"&amp;ADDRESS(ROW(),COLUMN(),4),L!$A:$A,0)-1,SL,,)</f>
        <v>Erforderlich für die Funktionalität des Produkts</v>
      </c>
      <c r="C17" s="74"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76"/>
      <c r="E17" s="128" t="s">
        <v>1335</v>
      </c>
    </row>
    <row r="18" spans="1:5" ht="165">
      <c r="A18" s="87"/>
      <c r="B18" s="74" t="str">
        <f ca="1">OFFSET(L!$C$1,MATCH("Definitions"&amp;ADDRESS(ROW(),COLUMN(),4),L!$A:$A,0)-1,SL,,)</f>
        <v>Erforderlich für die Herstellung eines Produkt</v>
      </c>
      <c r="C18" s="74"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76"/>
      <c r="E18" s="128" t="s">
        <v>1335</v>
      </c>
    </row>
    <row r="19" spans="1:5" ht="15">
      <c r="A19" s="87"/>
      <c r="B19" s="74" t="str">
        <f ca="1">OFFSET(L!$C$1,MATCH("Definitions"&amp;ADDRESS(ROW(),COLUMN(),4),L!$A:$A,0)-1,SL,,)</f>
        <v>OECD</v>
      </c>
      <c r="C19" s="74" t="str">
        <f ca="1">OFFSET(L!$C$1,MATCH("Definitions"&amp;ADDRESS(ROW(),COLUMN(),4),L!$A:$A,0)-1,SL,,)</f>
        <v>Organisation für wirtschaftliche Zusammenarbeit und Entwicklung</v>
      </c>
      <c r="D19" s="376"/>
      <c r="E19" s="128"/>
    </row>
    <row r="20" spans="1:5" ht="45">
      <c r="A20" s="87"/>
      <c r="B20" s="74" t="str">
        <f ca="1">OFFSET(L!$C$1,MATCH("Definitions"&amp;ADDRESS(ROW(),COLUMN(),4),L!$A:$A,0)-1,SL,,)</f>
        <v>Produkt</v>
      </c>
      <c r="C20" s="74"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Recycling oder Schrott Quellen</v>
      </c>
      <c r="C22" s="74"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76"/>
      <c r="E22" s="128"/>
    </row>
    <row r="23" spans="1:5" ht="60">
      <c r="A23" s="87"/>
      <c r="B23" s="74" t="str">
        <f ca="1">OFFSET(L!$C$1,MATCH("Definitions"&amp;ADDRESS(ROW(),COLUMN(),4),L!$A:$A,0)-1,SL,,)</f>
        <v>Responsible Minerals Assurance Process (RMAP)</v>
      </c>
      <c r="C23" s="74"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76"/>
      <c r="E24" s="128"/>
    </row>
    <row r="25" spans="1:5" ht="165">
      <c r="A25" s="87"/>
      <c r="B25" s="74" t="str">
        <f ca="1">OFFSET(L!$C$1,MATCH("Definitions"&amp;ADDRESS(ROW(),COLUMN(),4),L!$A:$A,0)-1,SL,,)</f>
        <v>RMAP Compliant Smelter Liste</v>
      </c>
      <c r="C25" s="74"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90">
      <c r="A27" s="87"/>
      <c r="B27" s="74" t="str">
        <f ca="1">OFFSET(L!$C$1,MATCH("Definitions"&amp;ADDRESS(ROW(),COLUMN(),4),L!$A:$A,0)-1,SL,,)</f>
        <v>Schmelzhütte</v>
      </c>
      <c r="C27" s="74"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76"/>
      <c r="E27" s="128" t="s">
        <v>1335</v>
      </c>
    </row>
    <row r="28" spans="1:5" ht="60">
      <c r="A28" s="87"/>
      <c r="B28" s="74" t="str">
        <f ca="1">OFFSET(L!$C$1,MATCH("Definitions"&amp;ADDRESS(ROW(),COLUMN(),4),L!$A:$A,0)-1,SL,,)</f>
        <v>Schmelzhütte Id-Nummer</v>
      </c>
      <c r="C28" s="74"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76"/>
      <c r="E28" s="128" t="s">
        <v>1336</v>
      </c>
    </row>
    <row r="29" spans="1:5" ht="108" customHeight="1">
      <c r="A29" s="87"/>
      <c r="B29" s="74" t="str">
        <f ca="1">OFFSET(L!$C$1,MATCH("Definitions"&amp;ADDRESS(ROW(),COLUMN(),4),L!$A:$A,0)-1,SL,,)</f>
        <v>Tantal (Ta) Schmelzhütte</v>
      </c>
      <c r="C29" s="74" t="str">
        <f ca="1">OFFSET(L!$C$1,MATCH("Definitions"&amp;ADDRESS(ROW(),COLUMN(),4),L!$A:$A,0)-1,SL,,)</f>
        <v>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76"/>
      <c r="E29" s="128" t="s">
        <v>1337</v>
      </c>
    </row>
    <row r="30" spans="1:5" ht="121.5" customHeight="1">
      <c r="A30" s="87"/>
      <c r="B30" s="74" t="str">
        <f ca="1">OFFSET(L!$C$1,MATCH("Definitions"&amp;ADDRESS(ROW(),COLUMN(),4),L!$A:$A,0)-1,SL,,)</f>
        <v>Zinn (Sn) Schmelzhütte</v>
      </c>
      <c r="C30" s="74"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v>
      </c>
      <c r="D30" s="376"/>
      <c r="E30" s="128" t="s">
        <v>1338</v>
      </c>
    </row>
    <row r="31" spans="1:5" ht="137.1" customHeight="1">
      <c r="A31" s="87"/>
      <c r="B31" s="74" t="str">
        <f ca="1">OFFSET(L!$C$1,MATCH("Definitions"&amp;ADDRESS(ROW(),COLUMN(),4),L!$A:$A,0)-1,SL,,)</f>
        <v>Wolfram (W) Schmelzhütte</v>
      </c>
      <c r="C31" s="74"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sqref="A1:K1"/>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546</v>
      </c>
      <c r="E3" s="12"/>
      <c r="F3" s="422"/>
      <c r="G3" s="422"/>
      <c r="H3" s="422"/>
      <c r="I3" s="184"/>
      <c r="J3" s="168" t="s">
        <v>15505</v>
      </c>
      <c r="K3" s="47"/>
      <c r="L3" s="139"/>
      <c r="M3" s="130"/>
      <c r="N3" s="130"/>
      <c r="O3" s="131"/>
      <c r="P3" s="144">
        <f>MATCH($D$3,LN,0)</f>
        <v>7</v>
      </c>
    </row>
    <row r="4" spans="1:34" ht="15.75">
      <c r="A4" s="45"/>
      <c r="B4" s="418" t="str">
        <f ca="1">OFFSET(L!$C$1,MATCH("Declaration"&amp;ADDRESS(ROW(),COLUMN(),4),L!$A:$A,0)-1,SL,,)</f>
        <v>Der Zweck dieses Dokuments ist die Erfassung von Beschaffungsinformationen für Zinn, Tantal, Wolfram und Gold, welche in Produkten genutzt werden.</v>
      </c>
      <c r="C4" s="418"/>
      <c r="D4" s="418"/>
      <c r="E4" s="418"/>
      <c r="F4" s="418"/>
      <c r="G4" s="418"/>
      <c r="H4" s="418"/>
      <c r="I4" s="423" t="str">
        <f ca="1">OFFSET(L!$C$1,MATCH("Declaration"&amp;ADDRESS(ROW(),COLUMN(),4),L!$A:$A,0)-1,SL,,)</f>
        <v>Link zu den Bedingungen</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Pflichtfelder sind mit einem Sternchen (*) gekennzeichnet.  Im Tab „Instruktionen“ finden Sie eine Anleitung zur Beantwortung aller Fragen.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Firmenangaben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Firmenname (*):</v>
      </c>
      <c r="C8" s="89"/>
      <c r="D8" s="415" t="s">
        <v>15506</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Geltungsbereich der Erklärung (*):</v>
      </c>
      <c r="C9" s="89"/>
      <c r="D9" s="424" t="s">
        <v>504</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8" t="str">
        <f ca="1">OFFSET(L!$C$1,MATCH("Declaration"&amp;ADDRESS(ROW(),COLUMN(),4)&amp;LEFT($D$9,1),L!$A:$A,0)-1,SL,,)</f>
        <v>Beschreibung des Geltungsbereichs</v>
      </c>
      <c r="C10" s="151"/>
      <c r="D10" s="419" t="s">
        <v>15507</v>
      </c>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Eindeutige Unternehmenskennung:</v>
      </c>
      <c r="C12" s="90"/>
      <c r="D12" s="402" t="s">
        <v>15508</v>
      </c>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Zuständige Stelle im Unternehmen:</v>
      </c>
      <c r="C13" s="90"/>
      <c r="D13" s="402" t="s">
        <v>15509</v>
      </c>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Adresse:</v>
      </c>
      <c r="C14" s="90"/>
      <c r="D14" s="402" t="s">
        <v>15510</v>
      </c>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Name des Ansprechpartners (*):</v>
      </c>
      <c r="C15" s="90"/>
      <c r="D15" s="402" t="s">
        <v>15511</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E-Mail-Adresse des Ansprechpartners (*):</v>
      </c>
      <c r="C16" s="90"/>
      <c r="D16" s="430" t="s">
        <v>15512</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Telefonnummer des Ansprechpartners (*):</v>
      </c>
      <c r="C17" s="90"/>
      <c r="D17" s="402" t="s">
        <v>15513</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Bevollmächtigter (*):</v>
      </c>
      <c r="C18" s="90"/>
      <c r="D18" s="402" t="s">
        <v>15514</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Titel des Bevollmächtigten:</v>
      </c>
      <c r="C19" s="90"/>
      <c r="D19" s="402" t="s">
        <v>15515</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E-Mail-Adresse des Bevollmächtigten (*):</v>
      </c>
      <c r="C20" s="90"/>
      <c r="D20" s="430" t="s">
        <v>15516</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Telefonnummer des Bevollmächtigten:</v>
      </c>
      <c r="C21" s="163"/>
      <c r="D21" s="433" t="s">
        <v>15517</v>
      </c>
      <c r="E21" s="434"/>
      <c r="F21" s="434"/>
      <c r="G21" s="434"/>
      <c r="H21" s="434"/>
      <c r="I21" s="434"/>
      <c r="J21" s="43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Datum (*):</v>
      </c>
      <c r="C22" s="91"/>
      <c r="D22" s="436">
        <v>44013</v>
      </c>
      <c r="E22" s="43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8" t="str">
        <f ca="1">OFFSET(L!$C$1,MATCH("Declaration"&amp;ADDRESS(ROW(),COLUMN(),4),L!$A:$A,0)-1,SL,,)</f>
        <v>Beantworten Sie die Fragen 1 - 8 entsprechend dem oben angegebenen Geltungsbereich</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Wird absichtlich ein 3TG-Mineral im Herstellungsprozess verwendet oder in das/die Produkt(e) aufgenommen? (*)</v>
      </c>
      <c r="C25" s="20"/>
      <c r="D25" s="392" t="str">
        <f ca="1">OFFSET(L!$C$1,MATCH("Declaration"&amp;ADDRESS(ROW(),COLUMN(),4),L!$A:$A,0)-1,SL,,)</f>
        <v>Antwort</v>
      </c>
      <c r="E25" s="392"/>
      <c r="F25" s="21"/>
      <c r="G25" s="55" t="str">
        <f ca="1">OFFSET(L!$C$1,MATCH("Declaration"&amp;ADDRESS(ROW(),COLUMN(),4),L!$A:$A,0)-1,SL,,)</f>
        <v>Kommentare</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Zinn  (*)</v>
      </c>
      <c r="C27" s="46"/>
      <c r="D27" s="378" t="s">
        <v>498</v>
      </c>
      <c r="E27" s="379"/>
      <c r="F27" s="15"/>
      <c r="G27" s="380" t="s">
        <v>15518</v>
      </c>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Wolfram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Liegen in dem/den Produkt(en) 3TG-Rückstände vor?  (*)</v>
      </c>
      <c r="C31" s="13"/>
      <c r="D31" s="398" t="str">
        <f ca="1">D25</f>
        <v>Antwort</v>
      </c>
      <c r="E31" s="398"/>
      <c r="F31" s="21"/>
      <c r="G31" s="55" t="str">
        <f ca="1">G25</f>
        <v>Kommentare</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  </v>
      </c>
      <c r="C32" s="13"/>
      <c r="D32" s="396"/>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Zinn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Wolfram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Beschaffen Schmelzöfen in Ihrer Lieferkette das 3TG-Mineral aus den umfassten Ländern? (SEC-Begriff, siehe Definitions-Tab) (*)</v>
      </c>
      <c r="C37" s="13"/>
      <c r="D37" s="398" t="str">
        <f ca="1">D25</f>
        <v>Antwort</v>
      </c>
      <c r="E37" s="398"/>
      <c r="F37" s="21"/>
      <c r="G37" s="55" t="str">
        <f ca="1">G25</f>
        <v>Kommentare</v>
      </c>
      <c r="H37" s="401"/>
      <c r="I37" s="401"/>
      <c r="J37" s="401"/>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Zinn  (*)</v>
      </c>
      <c r="C39" s="13"/>
      <c r="D39" s="378" t="s">
        <v>499</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Wolfram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Beziehen Schmelzereien in Ihrer Lieferkette ihre 3TG aus von Konflikten betroffenen und risikoreichen Gebieten? (*)</v>
      </c>
      <c r="C43" s="13"/>
      <c r="D43" s="398" t="str">
        <f ca="1">D25</f>
        <v>Antwort</v>
      </c>
      <c r="E43" s="398"/>
      <c r="F43" s="21"/>
      <c r="G43" s="55" t="str">
        <f ca="1">G25</f>
        <v>Kommentare</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Zinn  (*)</v>
      </c>
      <c r="C45" s="13"/>
      <c r="D45" s="378" t="s">
        <v>499</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Wolfram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Stammt das für die Funktionalität oder  Herstellung Ihrer Produkte benötigte 3TG-Mineral zu 100 % aus Recycling- oder Schrottquellen?  (*)</v>
      </c>
      <c r="C49" s="13"/>
      <c r="D49" s="398" t="str">
        <f ca="1">D25</f>
        <v>Antwort</v>
      </c>
      <c r="E49" s="398"/>
      <c r="F49" s="21"/>
      <c r="G49" s="55" t="str">
        <f ca="1">G25</f>
        <v>Kommentare</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Zinn  (*)</v>
      </c>
      <c r="C51" s="13"/>
      <c r="D51" s="378" t="s">
        <v>498</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Wolfram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Wie hoch ist der Prozentsatz an Lieferanten, die auf Ihre Lieferkettenumfrage geantwortet haben? (*)</v>
      </c>
      <c r="C55" s="13"/>
      <c r="D55" s="398" t="str">
        <f ca="1">D25</f>
        <v>Antwort</v>
      </c>
      <c r="E55" s="398"/>
      <c r="F55" s="21"/>
      <c r="G55" s="55" t="str">
        <f ca="1">G25</f>
        <v>Kommentare</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  </v>
      </c>
      <c r="C56" s="46"/>
      <c r="D56" s="399"/>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Zinn  (*)</v>
      </c>
      <c r="C57" s="46"/>
      <c r="D57" s="399">
        <v>1</v>
      </c>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99"/>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Wolfram  </v>
      </c>
      <c r="C59" s="46"/>
      <c r="D59" s="399"/>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Haben Sie alle Schmelzhütten ermittelt, die das 3TG-Mineral für Ihre Lieferkette bereitstellen?  (*)</v>
      </c>
      <c r="C61" s="13"/>
      <c r="D61" s="398" t="str">
        <f ca="1">D25</f>
        <v>Antwort</v>
      </c>
      <c r="E61" s="398"/>
      <c r="F61" s="21"/>
      <c r="G61" s="55" t="str">
        <f ca="1">G25</f>
        <v>Kommentare</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  </v>
      </c>
      <c r="C62" s="13"/>
      <c r="D62" s="396"/>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Zinn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Wolfram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Haben Sie alle relevanten Informationen, die Ihr Unternehmen zu den Schmelzhütten erhalten hat, in dieser Erklärung aufgeführt?  (*)</v>
      </c>
      <c r="C67" s="13"/>
      <c r="D67" s="398" t="str">
        <f ca="1">D25</f>
        <v>Antwort</v>
      </c>
      <c r="E67" s="398"/>
      <c r="F67" s="21"/>
      <c r="G67" s="55" t="str">
        <f ca="1">G25</f>
        <v>Kommentare</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Zinn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Wolfram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Beantworten Sie folgende Fragen auf Firmenebene</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Frage</v>
      </c>
      <c r="C74" s="94"/>
      <c r="D74" s="392" t="str">
        <f ca="1">D25</f>
        <v>Antwort</v>
      </c>
      <c r="E74" s="392"/>
      <c r="F74" s="64"/>
      <c r="G74" s="392" t="str">
        <f ca="1">G25</f>
        <v>Kommentare</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Haben Sie eine konflkitfreie Beschaffungsrichtlinie für Mineralien erstellt? (*)</v>
      </c>
      <c r="C75" s="68"/>
      <c r="D75" s="378" t="s">
        <v>498</v>
      </c>
      <c r="E75" s="379"/>
      <c r="F75" s="68"/>
      <c r="G75" s="380" t="s">
        <v>15520</v>
      </c>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Ist Ihre konflkitfreie Beschaffungsrichtlinie für Mineralien auf Ihrer Website einsehbar? (Hinweis - Wenn „Ja“, sollte der Benutzer die URL im Anmerkungsfeld angeben.) (*)</v>
      </c>
      <c r="C77" s="68"/>
      <c r="D77" s="378" t="s">
        <v>499</v>
      </c>
      <c r="E77" s="379"/>
      <c r="F77" s="68"/>
      <c r="G77" s="406" t="s">
        <v>15519</v>
      </c>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Verlangen Sie von Ihren direkten Lieferanten, das 3TG-Mineral ausschließlich von Schmelzhütten zu beziehen, deren Due-Diligence-Praktiken von einer unabhängigen Instanz überprüft wurden? (*)</v>
      </c>
      <c r="C79" s="68"/>
      <c r="D79" s="378" t="s">
        <v>499</v>
      </c>
      <c r="E79" s="379"/>
      <c r="F79" s="68"/>
      <c r="G79" s="380" t="s">
        <v>15521</v>
      </c>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Haben Sie Sorgfaltspflichtmaßnahmen für die konfliktfreie Beschaffung in Kraft gesetzt? (*)</v>
      </c>
      <c r="C81" s="68"/>
      <c r="D81" s="378" t="s">
        <v>498</v>
      </c>
      <c r="E81" s="379"/>
      <c r="F81" s="68"/>
      <c r="G81" s="380" t="s">
        <v>15523</v>
      </c>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Veranstaltet Ihr Unternehmen (eine) Konfliktmineralienumfrage(n) mit seinen entsprechenden Lieferanten?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Überprüfen Sie die Due-Diligence-Informationen, die Sie von ihren Lieferanten erhalten, anhand der Erwartungen Ihres Unternehmens? (*)</v>
      </c>
      <c r="C85" s="68"/>
      <c r="D85" s="387" t="s">
        <v>498</v>
      </c>
      <c r="E85" s="388"/>
      <c r="F85" s="68"/>
      <c r="G85" s="380" t="s">
        <v>15522</v>
      </c>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Sieht Ihr Review-Prozess ein Korrekturmaßnahmen-Management vor?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1.5">
      <c r="A89" s="52"/>
      <c r="B89" s="67" t="str">
        <f ca="1">OFFSET(L!$C$1,MATCH("Declaration"&amp;ADDRESS(ROW(),COLUMN(),4),L!$A:$A,0)-1,SL,,)&amp;$Q$37</f>
        <v>H. Ist Ihr Unternehmen zu einer jährlichen Offenlegung der Konfliktmineralien verpflichtet?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B6" sqref="B6"/>
    </sheetView>
  </sheetViews>
  <sheetFormatPr baseColWidth="10"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UM ZU BEGINNEN:</v>
      </c>
      <c r="C2" s="205"/>
      <c r="D2" s="205"/>
      <c r="E2" s="205"/>
      <c r="F2" s="232"/>
      <c r="G2" s="232"/>
      <c r="H2" s="232"/>
      <c r="I2" s="233"/>
      <c r="J2" s="439" t="str">
        <f ca="1">OFFSET(L!$C$1,MATCH("Smelter List"&amp;ADDRESS(ROW(),COLUMN(),4),L!$A:$A,0)-1,SL,,)</f>
        <v>Link zur "RMAP Conformant Smelter"- Liste</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 xml:space="preserve">Eingabespalte Schmelzofenidentifizierungsnummer </v>
      </c>
      <c r="B4" s="261" t="str">
        <f ca="1">OFFSET(L!$C$1,MATCH("Smelter List"&amp;ADDRESS(ROW(),COLUMN(),4),L!$A:$A,0)-1,SL,,)</f>
        <v>Metall (1)</v>
      </c>
      <c r="C4" s="261" t="str">
        <f ca="1">OFFSET(L!$C$1,MATCH("Smelter List"&amp;ADDRESS(ROW(),COLUMN(),4),L!$A:$A,0)-1,SL,,)</f>
        <v>Schmelzofensuche (*)</v>
      </c>
      <c r="D4" s="261" t="str">
        <f ca="1">OFFSET(L!$C$1,MATCH("Smelter List"&amp;ADDRESS(ROW(),COLUMN(),4),L!$A:$A,0)-1,SL,,)</f>
        <v>Schmelzofenname (1)</v>
      </c>
      <c r="E4" s="261" t="str">
        <f ca="1">OFFSET(L!$C$1,MATCH("Smelter List"&amp;ADDRESS(ROW(),COLUMN(),4),L!$A:$A,0)-1,SL,,)</f>
        <v>Schmelzhütten: Land (*)</v>
      </c>
      <c r="F4" s="261" t="str">
        <f ca="1">OFFSET(L!$C$1,MATCH("Smelter List"&amp;ADDRESS(ROW(),COLUMN(),4),L!$A:$A,0)-1,SL,,)</f>
        <v>Schmelzhütte Identifizierung</v>
      </c>
      <c r="G4" s="261" t="str">
        <f ca="1">OFFSET(L!$C$1,MATCH("Smelter List"&amp;ADDRESS(ROW(),COLUMN(),4),L!$A:$A,0)-1,SL,,)</f>
        <v>Quelle der Schmelzhütte Id-Nummer</v>
      </c>
      <c r="H4" s="175" t="str">
        <f ca="1">OFFSET(L!$C$1,MATCH("Smelter List"&amp;ADDRESS(ROW(),COLUMN(),4),L!$A:$A,0)-1,SL,,)</f>
        <v>Schmelzhütten: Straße</v>
      </c>
      <c r="I4" s="175" t="str">
        <f ca="1">OFFSET(L!$C$1,MATCH("Smelter List"&amp;ADDRESS(ROW(),COLUMN(),4),L!$A:$A,0)-1,SL,,)</f>
        <v>Schmelzhütten: Stadt</v>
      </c>
      <c r="J4" s="175" t="str">
        <f ca="1">OFFSET(L!$C$1,MATCH("Smelter List"&amp;ADDRESS(ROW(),COLUMN(),4),L!$A:$A,0)-1,SL,,)</f>
        <v>Schmelzhütten: Bundesland/Provinz</v>
      </c>
      <c r="K4" s="175" t="str">
        <f ca="1">OFFSET(L!$C$1,MATCH("Smelter List"&amp;ADDRESS(ROW(),COLUMN(),4),L!$A:$A,0)-1,SL,,)</f>
        <v xml:space="preserve">Schmelzhütten-Ansprechpartner: Name </v>
      </c>
      <c r="L4" s="175" t="str">
        <f ca="1">OFFSET(L!$C$1,MATCH("Smelter List"&amp;ADDRESS(ROW(),COLUMN(),4),L!$A:$A,0)-1,SL,,)</f>
        <v>Schmelzhütten-Ansprechpartner: E-mail</v>
      </c>
      <c r="M4" s="175" t="str">
        <f ca="1">OFFSET(L!$C$1,MATCH("Smelter List"&amp;ADDRESS(ROW(),COLUMN(),4),L!$A:$A,0)-1,SL,,)</f>
        <v>Vorgeschlagenen nächsten Schritte</v>
      </c>
      <c r="N4" s="175" t="str">
        <f ca="1">OFFSET(L!$C$1,MATCH("Smelter List"&amp;ADDRESS(ROW(),COLUMN(),4),L!$A:$A,0)-1,SL,,)</f>
        <v>Name der Mine(n) oder falls aus Recycling oder Schrott, tragen Sie "recycled" oder "Schrott" ein</v>
      </c>
      <c r="O4" s="175" t="str">
        <f ca="1">OFFSET(L!$C$1,MATCH("Smelter List"&amp;ADDRESS(ROW(),COLUMN(),4),L!$A:$A,0)-1,SL,,)</f>
        <v>Standort (Land) von Minen, falls aus Recycling oder Schrott gekauft, geben Sie "recycled" oder "Schrott" ein</v>
      </c>
      <c r="P4" s="175" t="str">
        <f ca="1">OFFSET(L!$C$1,MATCH("Smelter List"&amp;ADDRESS(ROW(),COLUMN(),4),L!$A:$A,0)-1,SL,,)</f>
        <v>Stammen 100% der Ausgangsstoffe der Schmelzhütte aus Recycling oder Schrott?</v>
      </c>
      <c r="Q4" s="176" t="str">
        <f ca="1">OFFSET(L!$C$1,MATCH("Smelter List"&amp;ADDRESS(ROW(),COLUMN(),4),L!$A:$A,0)-1,SL,,)</f>
        <v>Kommentare</v>
      </c>
      <c r="R4" s="261" t="s">
        <v>12747</v>
      </c>
      <c r="S4" s="261" t="s">
        <v>12730</v>
      </c>
      <c r="T4" s="261" t="s">
        <v>12731</v>
      </c>
      <c r="U4" s="239"/>
      <c r="V4" s="192"/>
      <c r="W4" s="192" t="s">
        <v>1347</v>
      </c>
      <c r="X4" s="192" t="s">
        <v>965</v>
      </c>
      <c r="Y4" s="192"/>
      <c r="Z4" s="192"/>
      <c r="AH4" s="176" t="s">
        <v>500</v>
      </c>
    </row>
    <row r="5" spans="1:34" s="277" customFormat="1" ht="20.100000000000001" customHeight="1">
      <c r="A5" s="332" t="s">
        <v>1856</v>
      </c>
      <c r="B5" s="217" t="str">
        <f ca="1">IF(LEN(A5)=0,"",INDEX('Smelter Look-up'!$A:$A,MATCH($A5,'Smelter Look-up'!$E:$E,0)))</f>
        <v>Tin</v>
      </c>
      <c r="C5" s="221" t="str">
        <f ca="1">IF(LEN(A5)=0,"",INDEX('Smelter Look-up'!$C:$C,MATCH($A5,'Smelter Look-up'!$E:$E,0)))</f>
        <v>Metallo Belgium N.V.</v>
      </c>
      <c r="D5" s="283" t="s">
        <v>13267</v>
      </c>
      <c r="E5" s="217" t="str">
        <f ca="1">IF(ISERROR($V5),"",OFFSET('Smelter Look-up'!$D$4,$V5-4,0)&amp;"")</f>
        <v>BELGIUM</v>
      </c>
      <c r="F5" s="217" t="str">
        <f ca="1">IF(ISERROR($V5),"",OFFSET('Smelter Look-up'!$E$4,$V5-4,0))</f>
        <v>CID002773</v>
      </c>
      <c r="G5" s="217" t="str">
        <f ca="1">IF(C5=$X$4,"Enter smelter details",IF(ISERROR($V5),"",OFFSET('Smelter Look-up'!$F$4,$V5-4,0)))</f>
        <v>RMI</v>
      </c>
      <c r="H5" s="218" t="s">
        <v>15524</v>
      </c>
      <c r="I5" s="219" t="str">
        <f ca="1">IF(ISERROR($V5),"",OFFSET('Smelter Look-up'!$H$4,$V5-4,0))</f>
        <v>Beerse</v>
      </c>
      <c r="J5" s="219" t="str">
        <f ca="1">IF(ISERROR($V5),"",OFFSET('Smelter Look-up'!$I$4,$V5-4,0))</f>
        <v>Antwerpen</v>
      </c>
      <c r="K5" s="273"/>
      <c r="L5" s="451" t="s">
        <v>15525</v>
      </c>
      <c r="M5" s="273"/>
      <c r="N5" s="273"/>
      <c r="O5" s="273"/>
      <c r="P5" s="220"/>
      <c r="Q5" s="274"/>
      <c r="R5" s="217" t="str">
        <f ca="1">IF(ISERROR($V5),"",OFFSET('Smelter Look-up'!$C$4,$V5-4,0)&amp;"")</f>
        <v>Metallo Belgium N.V.</v>
      </c>
      <c r="S5" s="225" t="str">
        <f t="shared" ref="S5" ca="1" si="0">IF(B5="","",IF(ISERROR(MATCH($E5,CL,0)),"Unknown",INDIRECT("'C'!$A$"&amp;MATCH($E5,CL,0)+1)))</f>
        <v>BE</v>
      </c>
      <c r="T5" s="225" t="str">
        <f ca="1">IF(B5="","",IF(ISERROR(MATCH($J5,SorP!$B$1:$B$6230,0)),"",INDIRECT("'SorP'!$A$"&amp;MATCH($J5,SorP!$B$1:$B$6230,0))))</f>
        <v>BE-VAN</v>
      </c>
      <c r="U5" s="241"/>
      <c r="V5" s="275">
        <f ca="1">IF(C5="",NA(),MATCH($B5&amp;$C5,'Smelter Look-up'!$J:$J,0))</f>
        <v>419</v>
      </c>
      <c r="W5" s="276"/>
      <c r="X5" s="276">
        <f t="shared" ref="X5" ca="1" si="1">IF(AND(C5="Smelter not listed",OR(LEN(D5)=0,LEN(E5)=0)),1,0)</f>
        <v>0</v>
      </c>
      <c r="Y5" s="276"/>
      <c r="Z5" s="276"/>
      <c r="AB5" s="278" t="str">
        <f t="shared" ref="AB5" ca="1" si="2">B5&amp;C5</f>
        <v>TinMetallo Belgium N.V.</v>
      </c>
    </row>
    <row r="6" spans="1:34" s="277" customFormat="1" ht="20.100000000000001" customHeight="1">
      <c r="A6" s="332" t="s">
        <v>786</v>
      </c>
      <c r="B6" s="217" t="str">
        <f ca="1">IF(LEN(A6)=0,"",INDEX('Smelter Look-up'!$A:$A,MATCH($A6,'Smelter Look-up'!$E:$E,0)))</f>
        <v>Tin</v>
      </c>
      <c r="C6" s="221" t="str">
        <f ca="1">IF(LEN(A6)=0,"",INDEX('Smelter Look-up'!$C:$C,MATCH($A6,'Smelter Look-up'!$E:$E,0)))</f>
        <v>Fenix Metals</v>
      </c>
      <c r="D6" s="283"/>
      <c r="E6" s="217" t="str">
        <f ca="1">IF(ISERROR($V6),"",OFFSET('Smelter Look-up'!$D$4,$V6-4,0)&amp;"")</f>
        <v>POLAND</v>
      </c>
      <c r="F6" s="217" t="str">
        <f ca="1">IF(ISERROR($V6),"",OFFSET('Smelter Look-up'!$E$4,$V6-4,0))</f>
        <v>CID000468</v>
      </c>
      <c r="G6" s="217" t="str">
        <f ca="1">IF(C6=$X$4,"Enter smelter details",IF(ISERROR($V6),"",OFFSET('Smelter Look-up'!$F$4,$V6-4,0)))</f>
        <v>RMI</v>
      </c>
      <c r="H6" s="218">
        <f ca="1">IF(ISERROR($V6),"",OFFSET('Smelter Look-up'!$G$4,$V6-4,0))</f>
        <v>0</v>
      </c>
      <c r="I6" s="219" t="str">
        <f ca="1">IF(ISERROR($V6),"",OFFSET('Smelter Look-up'!$H$4,$V6-4,0))</f>
        <v>Chmielów</v>
      </c>
      <c r="J6" s="219" t="str">
        <f ca="1">IF(ISERROR($V6),"",OFFSET('Smelter Look-up'!$I$4,$V6-4,0))</f>
        <v>Podkarpackie</v>
      </c>
      <c r="K6" s="273"/>
      <c r="L6" s="273"/>
      <c r="M6" s="273"/>
      <c r="N6" s="273"/>
      <c r="O6" s="273"/>
      <c r="P6" s="220"/>
      <c r="Q6" s="274"/>
      <c r="R6" s="217" t="str">
        <f ca="1">IF(ISERROR($V6),"",OFFSET('Smelter Look-up'!$C$4,$V6-4,0)&amp;"")</f>
        <v>Fenix Metals</v>
      </c>
      <c r="S6" s="225" t="str">
        <f t="shared" ref="S6:S37" ca="1" si="3">IF(B6="","",IF(ISERROR(MATCH($E6,CL,0)),"Unknown",INDIRECT("'C'!$A$"&amp;MATCH($E6,CL,0)+1)))</f>
        <v>PL</v>
      </c>
      <c r="T6" s="225" t="str">
        <f ca="1">IF(B6="","",IF(ISERROR(MATCH($J6,SorP!$B$1:$B$6230,0)),"",INDIRECT("'SorP'!$A$"&amp;MATCH($J6,SorP!$B$1:$B$6230,0))))</f>
        <v>PL-18</v>
      </c>
      <c r="U6" s="241"/>
      <c r="V6" s="275">
        <f ca="1">IF(C6="",NA(),MATCH($B6&amp;$C6,'Smelter Look-up'!$J:$J,0))</f>
        <v>383</v>
      </c>
      <c r="W6" s="276"/>
      <c r="X6" s="276">
        <f t="shared" ref="X6:X37" ca="1" si="4">IF(AND(C6="Smelter not listed",OR(LEN(D6)=0,LEN(E6)=0)),1,0)</f>
        <v>0</v>
      </c>
      <c r="Y6" s="276"/>
      <c r="Z6" s="276"/>
      <c r="AB6" s="278" t="str">
        <f t="shared" ref="AB6:AB37" ca="1" si="5">B6&amp;C6</f>
        <v>TinFenix Metals</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 ref="L5" r:id="rId3"/>
  </hyperlinks>
  <pageMargins left="0.70866141732283472" right="0.70866141732283472" top="0.74803149606299213" bottom="0.74803149606299213" header="0.31496062992125984" footer="0.31496062992125984"/>
  <pageSetup scale="43" fitToWidth="2" fitToHeight="100" orientation="landscape" r:id="rId4"/>
  <headerFooter>
    <oddHeader>&amp;C&amp;P ページ</oddHeader>
  </headerFooter>
  <drawing r:id="rId5"/>
  <legacy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Um sicherzustellen, dass alle erforderlichen Felder vor dem Versand an ihren Kunden ausgefüllt sind, alle rot markierten Felder beachten.</v>
      </c>
      <c r="B1" s="444"/>
      <c r="C1" s="444"/>
      <c r="D1" s="146" t="str">
        <f ca="1">OFFSET(L!$C$1,MATCH("Checker"&amp;ADDRESS(ROW(),COLUMN(),4),L!$A:$A,0)-1,SL,,)</f>
        <v>Erforderliche Felder bitte vervollständigen.</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Erforderliche Felder</v>
      </c>
      <c r="B3" s="79" t="str">
        <f ca="1">OFFSET(L!$C$1,MATCH("Checker"&amp;ADDRESS(ROW(),COLUMN(),4),L!$A:$A,0)-1,SL,,)</f>
        <v>Antwort ist vorhanden</v>
      </c>
      <c r="C3" s="79" t="str">
        <f ca="1">OFFSET(L!$C$1,MATCH("Checker"&amp;ADDRESS(ROW(),COLUMN(),4),L!$A:$A,0)-1,SL,,)</f>
        <v>Notizen</v>
      </c>
      <c r="D3" s="79" t="str">
        <f ca="1">OFFSET(L!$C$1,MATCH("Checker"&amp;ADDRESS(ROW(),COLUMN(),4),L!$A:$A,0)-1,SL,,)</f>
        <v>Hyperlink zum Ursprung</v>
      </c>
      <c r="F3" s="80" t="s">
        <v>537</v>
      </c>
      <c r="G3" s="22" t="s">
        <v>536</v>
      </c>
      <c r="H3" s="22" t="s">
        <v>538</v>
      </c>
      <c r="I3" s="178" t="s">
        <v>1340</v>
      </c>
      <c r="J3" s="22" t="s">
        <v>1341</v>
      </c>
    </row>
    <row r="4" spans="1:10" ht="39">
      <c r="A4" s="103" t="str">
        <f ca="1">Declaration!B8</f>
        <v>Firmenname (*):</v>
      </c>
      <c r="B4" s="102" t="str">
        <f>Declaration!D8</f>
        <v>KME SE Group affiliates</v>
      </c>
      <c r="C4" s="102" t="str">
        <f t="shared" ref="C4" ca="1" si="0">IF(H4=1,J4,I4)</f>
        <v>Vollständig</v>
      </c>
      <c r="D4" s="108" t="str">
        <f>IF(H4=1,"Click here to enter Company Name","")</f>
        <v/>
      </c>
      <c r="E4" s="84" t="s">
        <v>1330</v>
      </c>
      <c r="F4" s="106">
        <v>1</v>
      </c>
      <c r="G4" s="81">
        <f t="shared" ref="G4" si="1">IF(B4=0,1,0)</f>
        <v>0</v>
      </c>
      <c r="H4" s="82">
        <f>F4*G4</f>
        <v>0</v>
      </c>
      <c r="I4" s="179" t="str">
        <f ca="1">OFFSET(L!$C$1,MATCH("Checker"&amp;"Comp",L!$A:$A,0)-1,SL,,)</f>
        <v>Vollständig</v>
      </c>
      <c r="J4" s="180" t="str">
        <f ca="1">OFFSET(L!$C$1,MATCH("Checker"&amp;ADDRESS(ROW(),COLUMN(),4),L!$A:$A,0)-1,SL,,)</f>
        <v>Geben Sie den Namen Ihres Unternehmens in der Reiterzelle D8 der Erklärung an</v>
      </c>
    </row>
    <row r="5" spans="1:10" ht="39">
      <c r="A5" s="103" t="str">
        <f ca="1">Declaration!B9</f>
        <v>Geltungsbereich der Erklärung (*):</v>
      </c>
      <c r="B5" s="102" t="str">
        <f>Declaration!D9</f>
        <v>A. Company</v>
      </c>
      <c r="C5" s="102" t="str">
        <f ca="1">IF(H5=1,J5,I5)</f>
        <v>Vollständig</v>
      </c>
      <c r="D5" s="108" t="str">
        <f>IF(H5=1,"Click here to enter Declaration Scope","")</f>
        <v/>
      </c>
      <c r="E5" s="84" t="s">
        <v>1330</v>
      </c>
      <c r="F5" s="106">
        <v>1</v>
      </c>
      <c r="G5" s="81">
        <f>IF(B5=0,1,0)</f>
        <v>0</v>
      </c>
      <c r="H5" s="82">
        <f t="shared" ref="H5" si="2">F5*G5</f>
        <v>0</v>
      </c>
      <c r="I5" s="179" t="str">
        <f ca="1">OFFSET(L!$C$1,MATCH("Checker"&amp;"Comp",L!$A:$A,0)-1,SL,,)</f>
        <v>Vollständig</v>
      </c>
      <c r="J5" s="180" t="str">
        <f ca="1">OFFSET(L!$C$1,MATCH("Checker"&amp;ADDRESS(ROW(),COLUMN(),4),L!$A:$A,0)-1,SL,,)</f>
        <v>Wählen Sie den Umfang der Erklärung in der Reiterzelle D9 der Erklärung aus</v>
      </c>
    </row>
    <row r="6" spans="1:10" ht="63.75">
      <c r="A6" s="103" t="str">
        <f ca="1">Declaration!B10</f>
        <v>Beschreibung des Geltungsbereichs</v>
      </c>
      <c r="B6" s="102" t="str">
        <f>Declaration!D10</f>
        <v xml:space="preserve">KME Germany GmbH; KME Special Products GmbH, KME Italy S.p.A.;Serravalle Copper Tubes S.r.l.;
KME Mansfeld GmbH; KME Rolled France SAS;Tréfimétaux SAS;  </v>
      </c>
      <c r="C6" s="102" t="str">
        <f ca="1">IF(H6=1,J6,I6)</f>
        <v>Vollständig</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Vollständig</v>
      </c>
      <c r="J6" s="22" t="str">
        <f ca="1">OFFSET(L!$C$1,MATCH("Checker"&amp;ADDRESS(ROW(),COLUMN(),4),L!$A:$A,0)-1,SL,,)</f>
        <v>Geben Sie eine Beschreibung des Umfangs in der Reiterzelle D10 der Erklärung an</v>
      </c>
    </row>
    <row r="7" spans="1:10" ht="39">
      <c r="A7" s="103" t="str">
        <f ca="1">Declaration!B15</f>
        <v>Name des Ansprechpartners (*):</v>
      </c>
      <c r="B7" s="102" t="str">
        <f>Declaration!D15</f>
        <v>M.Calamia (Head of Metal Procurement</v>
      </c>
      <c r="C7" s="102" t="str">
        <f ca="1">IF(H7=1,J7,I7)</f>
        <v>Vollständig</v>
      </c>
      <c r="D7" s="108" t="str">
        <f>IF(H7=1,"Click here to enter Contact Name","")</f>
        <v/>
      </c>
      <c r="E7" s="84" t="s">
        <v>1330</v>
      </c>
      <c r="F7" s="149">
        <v>1</v>
      </c>
      <c r="G7" s="81">
        <f>IF(B7=0,1,0)</f>
        <v>0</v>
      </c>
      <c r="H7" s="82">
        <f t="shared" si="3"/>
        <v>0</v>
      </c>
      <c r="I7" s="179" t="str">
        <f ca="1">OFFSET(L!$C$1,MATCH("Checker"&amp;"Comp",L!$A:$A,0)-1,SL,,)</f>
        <v>Vollständig</v>
      </c>
      <c r="J7" s="22" t="str">
        <f ca="1">OFFSET(L!$C$1,MATCH("Checker"&amp;ADDRESS(ROW(),COLUMN(),4),L!$A:$A,0)-1,SL,,)</f>
        <v>Geben Sie einen Kontaktnamen in der Reiterzelle D15 der Erklärung an</v>
      </c>
    </row>
    <row r="8" spans="1:10" ht="39">
      <c r="A8" s="103" t="str">
        <f ca="1">Declaration!B16</f>
        <v>E-Mail-Adresse des Ansprechpartners (*):</v>
      </c>
      <c r="B8" s="102" t="str">
        <f>Declaration!D16</f>
        <v>marco.calamia@kme.com</v>
      </c>
      <c r="C8" s="102" t="str">
        <f ca="1">IF(H8=1,J8,I8)</f>
        <v>Vollständig</v>
      </c>
      <c r="D8" s="108" t="str">
        <f>IF(H8=1,"Click here to enter Email-Contact","")</f>
        <v/>
      </c>
      <c r="E8" s="84" t="s">
        <v>1330</v>
      </c>
      <c r="F8" s="149">
        <v>1</v>
      </c>
      <c r="G8" s="81">
        <f>IF(ISNUMBER(SEARCH("@",B8)),0,1)</f>
        <v>0</v>
      </c>
      <c r="H8" s="82">
        <f t="shared" si="3"/>
        <v>0</v>
      </c>
      <c r="I8" s="179" t="str">
        <f ca="1">OFFSET(L!$C$1,MATCH("Checker"&amp;"Comp",L!$A:$A,0)-1,SL,,)</f>
        <v>Vollständig</v>
      </c>
      <c r="J8" s="22" t="str">
        <f ca="1">OFFSET(L!$C$1,MATCH("Checker"&amp;ADDRESS(ROW(),COLUMN(),4),L!$A:$A,0)-1,SL,,)</f>
        <v>Geben Sie eine gültige Kontakt-E-Mail-Adresse in der Reiterzelle D16 der Erklärung an</v>
      </c>
    </row>
    <row r="9" spans="1:10" ht="39">
      <c r="A9" s="103" t="str">
        <f ca="1">Declaration!B17</f>
        <v>Telefonnummer des Ansprechpartners (*):</v>
      </c>
      <c r="B9" s="102" t="str">
        <f>Declaration!D17</f>
        <v>0039 055 44111</v>
      </c>
      <c r="C9" s="102" t="str">
        <f ca="1">IF(H9=1,J9,I9)</f>
        <v>Vollständig</v>
      </c>
      <c r="D9" s="108" t="str">
        <f>IF(H9=1,"Click here to enter Phone-Contact","")</f>
        <v/>
      </c>
      <c r="E9" s="84" t="s">
        <v>1330</v>
      </c>
      <c r="F9" s="149">
        <v>1</v>
      </c>
      <c r="G9" s="81">
        <f>IF(B9=0,1,0)</f>
        <v>0</v>
      </c>
      <c r="H9" s="82">
        <f t="shared" si="3"/>
        <v>0</v>
      </c>
      <c r="I9" s="179" t="str">
        <f ca="1">OFFSET(L!$C$1,MATCH("Checker"&amp;"Comp",L!$A:$A,0)-1,SL,,)</f>
        <v>Vollständig</v>
      </c>
      <c r="J9" s="22" t="str">
        <f ca="1">OFFSET(L!$C$1,MATCH("Checker"&amp;ADDRESS(ROW(),COLUMN(),4),L!$A:$A,0)-1,SL,,)</f>
        <v>Geben Sie eine Kontakttelefonnummer in der Reiterzelle D17 der Erklärung an</v>
      </c>
    </row>
    <row r="10" spans="1:10" ht="39">
      <c r="A10" s="103" t="str">
        <f ca="1">Declaration!B18</f>
        <v>Bevollmächtigter (*):</v>
      </c>
      <c r="B10" s="102" t="str">
        <f>Declaration!D18</f>
        <v>Frank Otten</v>
      </c>
      <c r="C10" s="102" t="str">
        <f t="shared" ref="C10" ca="1" si="4">IF(H10=1,J10,I10)</f>
        <v>Vollständig</v>
      </c>
      <c r="D10" s="108" t="str">
        <f>IF(H10=1,"Click here to enter an Authorized Company Representative's name","")</f>
        <v/>
      </c>
      <c r="E10" s="84" t="s">
        <v>1330</v>
      </c>
      <c r="F10" s="106">
        <v>1</v>
      </c>
      <c r="G10" s="81">
        <f t="shared" ref="G10" si="5">IF(B10=0,1,0)</f>
        <v>0</v>
      </c>
      <c r="H10" s="82">
        <f t="shared" si="3"/>
        <v>0</v>
      </c>
      <c r="I10" s="179"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3" t="str">
        <f ca="1">Declaration!B20</f>
        <v>E-Mail-Adresse des Bevollmächtigten (*):</v>
      </c>
      <c r="B11" s="102" t="str">
        <f>Declaration!D20</f>
        <v>Frank.Otten@kme.com</v>
      </c>
      <c r="C11" s="102" t="str">
        <f ca="1">IF(H11=1,J11,I11)</f>
        <v>Vollständig</v>
      </c>
      <c r="D11" s="108" t="str">
        <f>IF(H11=1,"Click here to enter Representative's email","")</f>
        <v/>
      </c>
      <c r="E11" s="84" t="s">
        <v>1330</v>
      </c>
      <c r="F11" s="106">
        <v>1</v>
      </c>
      <c r="G11" s="81">
        <f>IF(ISNUMBER(SEARCH("@",B11)),0,1)</f>
        <v>0</v>
      </c>
      <c r="H11" s="82">
        <f t="shared" si="3"/>
        <v>0</v>
      </c>
      <c r="I11" s="179"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3" t="str">
        <f ca="1">Declaration!B22</f>
        <v>Datum (*):</v>
      </c>
      <c r="B12" s="104">
        <f>Declaration!D22</f>
        <v>44013</v>
      </c>
      <c r="C12" s="102" t="str">
        <f ca="1">IF(H12=1,J12,I12)</f>
        <v>Vollständig</v>
      </c>
      <c r="D12" s="108" t="str">
        <f>IF(H12=1,"Click here to enter Date of Completion","")</f>
        <v/>
      </c>
      <c r="E12" s="84" t="s">
        <v>1330</v>
      </c>
      <c r="F12" s="106">
        <v>1</v>
      </c>
      <c r="G12" s="81">
        <f>IF(B12=0,1,0)</f>
        <v>0</v>
      </c>
      <c r="H12" s="82">
        <f t="shared" si="3"/>
        <v>0</v>
      </c>
      <c r="I12" s="179" t="str">
        <f ca="1">OFFSET(L!$C$1,MATCH("Checker"&amp;"Comp",L!$A:$A,0)-1,SL,,)</f>
        <v>Vollständig</v>
      </c>
      <c r="J12" s="22" t="str">
        <f ca="1">OFFSET(L!$C$1,MATCH("Checker"&amp;ADDRESS(ROW(),COLUMN(),4),L!$A:$A,0)-1,SL,,)</f>
        <v>Geben Sie das Datum der Vervollständigung des Formulars in der Reiterzelle D22 der Erklärung an</v>
      </c>
    </row>
    <row r="13" spans="1:10" ht="63.75">
      <c r="A13" s="102" t="str">
        <f ca="1">Declaration!B25</f>
        <v>1) Wird absichtlich ein 3TG-Mineral im Herstellungsprozess verwendet oder in das/die Produkt(e) aufgenommen? (*)</v>
      </c>
      <c r="B13" s="105"/>
      <c r="C13" s="105"/>
      <c r="D13" s="109"/>
      <c r="E13" s="84" t="s">
        <v>831</v>
      </c>
      <c r="F13" s="106"/>
      <c r="G13" s="24"/>
      <c r="H13" s="83">
        <f t="shared" si="3"/>
        <v>0</v>
      </c>
    </row>
    <row r="14" spans="1:10" ht="26.25">
      <c r="A14" s="103" t="str">
        <f ca="1">Declaration!B26</f>
        <v xml:space="preserve">Tantal  </v>
      </c>
      <c r="B14" s="102" t="str">
        <f>Declaration!D26</f>
        <v>No</v>
      </c>
      <c r="C14" s="102" t="str">
        <f ca="1">IF(H14=1,J14,I14)</f>
        <v>Vollständig</v>
      </c>
      <c r="D14" s="108" t="str">
        <f>IF(H14=1,"Click here to answer question 1 for Tantalum","")</f>
        <v/>
      </c>
      <c r="E14" s="84" t="s">
        <v>827</v>
      </c>
      <c r="F14" s="106">
        <v>1</v>
      </c>
      <c r="G14" s="81">
        <f>IF(B14=0,1,0)</f>
        <v>0</v>
      </c>
      <c r="H14" s="82">
        <f t="shared" si="3"/>
        <v>0</v>
      </c>
      <c r="I14" s="179" t="str">
        <f ca="1">OFFSET(L!$C$1,MATCH("Checker"&amp;"Comp",L!$A:$A,0)-1,SL,,)</f>
        <v>Vollständig</v>
      </c>
      <c r="J14" s="180" t="str">
        <f ca="1">OFFSET(L!$C$1,MATCH("Checker"&amp;ADDRESS(ROW(),COLUMN(),4),L!$A:$A,0)-1,SL,,)</f>
        <v>Erklären Sie in der Reiterzelle D26 der Erklärung, ob Tantalum Ihren Produkten absichtlich hinzugefügt wird</v>
      </c>
    </row>
    <row r="15" spans="1:10" ht="39">
      <c r="A15" s="103" t="str">
        <f ca="1">Declaration!B27</f>
        <v>Zinn  (*)</v>
      </c>
      <c r="B15" s="102" t="str">
        <f>Declaration!D27</f>
        <v>Yes</v>
      </c>
      <c r="C15" s="102" t="str">
        <f ca="1">IF(H15=1,J15,I15)</f>
        <v>Vollständig</v>
      </c>
      <c r="D15" s="108" t="str">
        <f>IF(H15=1,"Click here to answer question 1 for Tin","")</f>
        <v/>
      </c>
      <c r="E15" s="84" t="s">
        <v>828</v>
      </c>
      <c r="F15" s="106">
        <v>1</v>
      </c>
      <c r="G15" s="81">
        <f>IF(B15=0,1,0)</f>
        <v>0</v>
      </c>
      <c r="H15" s="82">
        <f t="shared" si="3"/>
        <v>0</v>
      </c>
      <c r="I15" s="179" t="str">
        <f ca="1">OFFSET(L!$C$1,MATCH("Checker"&amp;"Comp",L!$A:$A,0)-1,SL,,)</f>
        <v>Vollständig</v>
      </c>
      <c r="J15" s="180" t="str">
        <f ca="1">OFFSET(L!$C$1,MATCH("Checker"&amp;ADDRESS(ROW(),COLUMN(),4),L!$A:$A,0)-1,SL,,)</f>
        <v>Erklären Sie in der Reiterzelle D27 der Erklärung, ob Zinn Ihren Produkten absichtlich hinzugefügt wird</v>
      </c>
    </row>
    <row r="16" spans="1:10" ht="39">
      <c r="A16" s="103" t="str">
        <f ca="1">Declaration!B28</f>
        <v xml:space="preserve">Gold  </v>
      </c>
      <c r="B16" s="102" t="str">
        <f>Declaration!D28</f>
        <v>No</v>
      </c>
      <c r="C16" s="102" t="str">
        <f ca="1">IF(H16=1,J16,I16)</f>
        <v>Vollständig</v>
      </c>
      <c r="D16" s="108" t="str">
        <f>IF(H16=1,"Click here to answer question 1 for Gold","")</f>
        <v/>
      </c>
      <c r="E16" s="84" t="s">
        <v>828</v>
      </c>
      <c r="F16" s="106">
        <v>1</v>
      </c>
      <c r="G16" s="81">
        <f>IF(B16=0,1,0)</f>
        <v>0</v>
      </c>
      <c r="H16" s="82">
        <f t="shared" si="3"/>
        <v>0</v>
      </c>
      <c r="I16" s="179" t="str">
        <f ca="1">OFFSET(L!$C$1,MATCH("Checker"&amp;"Comp",L!$A:$A,0)-1,SL,,)</f>
        <v>Vollständig</v>
      </c>
      <c r="J16" s="180" t="str">
        <f ca="1">OFFSET(L!$C$1,MATCH("Checker"&amp;ADDRESS(ROW(),COLUMN(),4),L!$A:$A,0)-1,SL,,)</f>
        <v>Erklären Sie in der Reiterzelle D28 der Erklärung, ob Gold Ihren Produkten absichtlich hinzugefügt wird</v>
      </c>
    </row>
    <row r="17" spans="1:10" ht="39">
      <c r="A17" s="103" t="str">
        <f ca="1">Declaration!B29</f>
        <v xml:space="preserve">Wolfram  </v>
      </c>
      <c r="B17" s="102" t="str">
        <f>Declaration!D29</f>
        <v>No</v>
      </c>
      <c r="C17" s="102" t="str">
        <f ca="1">IF(H17=1,J17,I17)</f>
        <v>Vollständig</v>
      </c>
      <c r="D17" s="108" t="str">
        <f>IF(H17=1,"Click here to answer question 1 for Tungsten","")</f>
        <v/>
      </c>
      <c r="E17" s="84" t="s">
        <v>828</v>
      </c>
      <c r="F17" s="106">
        <v>1</v>
      </c>
      <c r="G17" s="81">
        <f>IF(B17=0,1,0)</f>
        <v>0</v>
      </c>
      <c r="H17" s="82">
        <f t="shared" si="3"/>
        <v>0</v>
      </c>
      <c r="I17" s="179" t="str">
        <f ca="1">OFFSET(L!$C$1,MATCH("Checker"&amp;"Comp",L!$A:$A,0)-1,SL,,)</f>
        <v>Vollständig</v>
      </c>
      <c r="J17" s="180" t="str">
        <f ca="1">OFFSET(L!$C$1,MATCH("Checker"&amp;ADDRESS(ROW(),COLUMN(),4),L!$A:$A,0)-1,SL,,)</f>
        <v>Erklären Sie in der Reiterzelle D29 der Erklärung, ob Tungsten Ihren Produkten absichtlich hinzugefügt wird</v>
      </c>
    </row>
    <row r="18" spans="1:10" ht="51">
      <c r="A18" s="102" t="str">
        <f ca="1">Declaration!B31</f>
        <v>2) Liegen in dem/den Produkt(en) 3TG-Rückstände vor?  (*)</v>
      </c>
      <c r="B18" s="105"/>
      <c r="C18" s="105"/>
      <c r="D18" s="109"/>
      <c r="E18" s="84" t="s">
        <v>829</v>
      </c>
      <c r="F18" s="106"/>
      <c r="G18" s="24"/>
      <c r="H18" s="24"/>
      <c r="J18" s="180"/>
    </row>
    <row r="19" spans="1:10" ht="39">
      <c r="A19" s="103" t="str">
        <f ca="1">Declaration!B32</f>
        <v xml:space="preserve">Tantal  </v>
      </c>
      <c r="B19" s="102">
        <f>IF($B$14="Yes",Declaration!D32,0)</f>
        <v>0</v>
      </c>
      <c r="C19" s="102" t="str">
        <f ca="1">IF(H19=1,J19,I19)</f>
        <v>Vollständig</v>
      </c>
      <c r="D19" s="110" t="str">
        <f>IF(H19=1,"Click here to answer question 2 for Tantalum","")</f>
        <v/>
      </c>
      <c r="E19" s="84" t="s">
        <v>828</v>
      </c>
      <c r="F19" s="107">
        <f>IF(B$14="No",0,1)</f>
        <v>0</v>
      </c>
      <c r="G19" s="81">
        <f>IF(B19=0,1,0)</f>
        <v>1</v>
      </c>
      <c r="H19" s="82">
        <f>F19*G19</f>
        <v>0</v>
      </c>
      <c r="I19" s="179" t="str">
        <f ca="1">OFFSET(L!$C$1,MATCH("Checker"&amp;"Comp",L!$A:$A,0)-1,SL,,)</f>
        <v>Vollständig</v>
      </c>
      <c r="J19" s="180" t="str">
        <f ca="1">OFFSET(L!$C$1,MATCH("Checker"&amp;ADDRESS(ROW(),COLUMN(),4),L!$A:$A,0)-1,SL,,)</f>
        <v>Erklären Sie in der Reiterzelle D32 der Erklärung, ob Tantalum für die Herstellung Ihrer Produkte erforderlich ist und ob es in den angegebenen Endprodukten enthalten ist</v>
      </c>
    </row>
    <row r="20" spans="1:10" ht="39">
      <c r="A20" s="103" t="str">
        <f ca="1">Declaration!B33</f>
        <v>Zinn  (*)</v>
      </c>
      <c r="B20" s="102" t="str">
        <f>IF($B$15="Yes",Declaration!D33,0)</f>
        <v>Yes</v>
      </c>
      <c r="C20" s="102" t="str">
        <f ca="1">IF(H20=1,J20,I20)</f>
        <v>Vollständig</v>
      </c>
      <c r="D20" s="110" t="str">
        <f>IF(H20=1,"Click here to answer question 2 for Tin","")</f>
        <v/>
      </c>
      <c r="E20" s="84" t="s">
        <v>828</v>
      </c>
      <c r="F20" s="107">
        <f>IF(B$15="No",0,1)</f>
        <v>1</v>
      </c>
      <c r="G20" s="81">
        <f>IF(B20=0,1,0)</f>
        <v>0</v>
      </c>
      <c r="H20" s="82">
        <f>F20*G20</f>
        <v>0</v>
      </c>
      <c r="I20" s="179" t="str">
        <f ca="1">OFFSET(L!$C$1,MATCH("Checker"&amp;"Comp",L!$A:$A,0)-1,SL,,)</f>
        <v>Vollständig</v>
      </c>
      <c r="J20" s="180" t="str">
        <f ca="1">OFFSET(L!$C$1,MATCH("Checker"&amp;ADDRESS(ROW(),COLUMN(),4),L!$A:$A,0)-1,SL,,)</f>
        <v>Erklären Sie in der Reiterzelle D33 der Erklärung, ob Zinn für die Herstellung Ihrer Produkte erforderlich ist und ob es in den angegebenen Endprodukten enthalten ist</v>
      </c>
    </row>
    <row r="21" spans="1:10" ht="39">
      <c r="A21" s="103" t="str">
        <f ca="1">Declaration!B34</f>
        <v xml:space="preserve">Gold  </v>
      </c>
      <c r="B21" s="102">
        <f>IF($B$16="Yes",Declaration!D34,0)</f>
        <v>0</v>
      </c>
      <c r="C21" s="102" t="str">
        <f ca="1">IF(H21=1,J21,I21)</f>
        <v>Vollständig</v>
      </c>
      <c r="D21" s="110" t="str">
        <f>IF(H21=1,"Click here to answer question 2 for Gold","")</f>
        <v/>
      </c>
      <c r="E21" s="84" t="s">
        <v>828</v>
      </c>
      <c r="F21" s="107">
        <f>IF(B$16="No",0,1)</f>
        <v>0</v>
      </c>
      <c r="G21" s="81">
        <f>IF(B21=0,1,0)</f>
        <v>1</v>
      </c>
      <c r="H21" s="82">
        <f>F21*G21</f>
        <v>0</v>
      </c>
      <c r="I21" s="179" t="str">
        <f ca="1">OFFSET(L!$C$1,MATCH("Checker"&amp;"Comp",L!$A:$A,0)-1,SL,,)</f>
        <v>Vollständig</v>
      </c>
      <c r="J21" s="180" t="str">
        <f ca="1">OFFSET(L!$C$1,MATCH("Checker"&amp;ADDRESS(ROW(),COLUMN(),4),L!$A:$A,0)-1,SL,,)</f>
        <v>Erklären Sie in der Reiterzelle D34 der Erklärung, ob Gold für die Herstellung Ihrer Produkte erforderlich ist und ob es in den angegebenen Endprodukten enthalten ist</v>
      </c>
    </row>
    <row r="22" spans="1:10" ht="39">
      <c r="A22" s="103" t="str">
        <f ca="1">Declaration!B35</f>
        <v xml:space="preserve">Wolfram  </v>
      </c>
      <c r="B22" s="102">
        <f>IF($B$17="Yes",Declaration!D35,0)</f>
        <v>0</v>
      </c>
      <c r="C22" s="102" t="str">
        <f ca="1">IF(H22=1,J22,I22)</f>
        <v>Vollständig</v>
      </c>
      <c r="D22" s="110" t="str">
        <f>IF(H22=1,"Click here to answer question 2 for Tungsten","")</f>
        <v/>
      </c>
      <c r="E22" s="84" t="s">
        <v>828</v>
      </c>
      <c r="F22" s="107">
        <f>IF(B$17="No",0,1)</f>
        <v>0</v>
      </c>
      <c r="G22" s="81">
        <f>IF(B22=0,1,0)</f>
        <v>1</v>
      </c>
      <c r="H22" s="82">
        <f>F22*G22</f>
        <v>0</v>
      </c>
      <c r="I22" s="179" t="str">
        <f ca="1">OFFSET(L!$C$1,MATCH("Checker"&amp;"Comp",L!$A:$A,0)-1,SL,,)</f>
        <v>Vollständig</v>
      </c>
      <c r="J22" s="180"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102" t="str">
        <f ca="1">Declaration!B37</f>
        <v>3) Beschaffen Schmelzöfen in Ihrer Lieferkette das 3TG-Mineral aus den umfassten Ländern? (SEC-Begriff, siehe Definitions-Tab) (*)</v>
      </c>
      <c r="B23" s="105"/>
      <c r="C23" s="105"/>
      <c r="D23" s="109"/>
      <c r="E23" s="84" t="s">
        <v>828</v>
      </c>
      <c r="F23" s="106"/>
      <c r="G23" s="24"/>
      <c r="H23" s="24"/>
      <c r="J23" s="180"/>
    </row>
    <row r="24" spans="1:10" ht="39">
      <c r="A24" s="103" t="str">
        <f ca="1">Declaration!B38</f>
        <v xml:space="preserve">Tantal  </v>
      </c>
      <c r="B24" s="102">
        <f>IF(AND($B$14="Yes",$B$19="Yes"),Declaration!D38,0)</f>
        <v>0</v>
      </c>
      <c r="C24" s="102" t="str">
        <f ca="1">IF(H24=1,J24,I24)</f>
        <v>Vollständig</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Vollständig</v>
      </c>
      <c r="J24"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103" t="str">
        <f ca="1">Declaration!B39</f>
        <v>Zinn  (*)</v>
      </c>
      <c r="B25" s="102" t="str">
        <f>IF(AND($B$15="Yes",$B$20="Yes"),Declaration!D39,0)</f>
        <v>No</v>
      </c>
      <c r="C25" s="102" t="str">
        <f ca="1">IF(H25=1,J25,I25)</f>
        <v>Vollständig</v>
      </c>
      <c r="D25" s="110" t="str">
        <f>IF(H25=1,"Click here to answer question 3 for Tin","")</f>
        <v/>
      </c>
      <c r="E25" s="84" t="s">
        <v>828</v>
      </c>
      <c r="F25" s="107">
        <f>IF(OR(B15="No",B20="No"),0,1)</f>
        <v>1</v>
      </c>
      <c r="G25" s="81">
        <f>IF(B25=0,1,0)</f>
        <v>0</v>
      </c>
      <c r="H25" s="82">
        <f>F25*G25</f>
        <v>0</v>
      </c>
      <c r="I25" s="179" t="str">
        <f ca="1">OFFSET(L!$C$1,MATCH("Checker"&amp;"Comp",L!$A:$A,0)-1,SL,,)</f>
        <v>Vollständig</v>
      </c>
      <c r="J25"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103" t="str">
        <f ca="1">Declaration!B40</f>
        <v xml:space="preserve">Gold  </v>
      </c>
      <c r="B26" s="102">
        <f>IF(AND($B$16="Yes",$B$21="Yes"),Declaration!D40,0)</f>
        <v>0</v>
      </c>
      <c r="C26" s="102" t="str">
        <f ca="1">IF(H26=1,J26,I26)</f>
        <v>Vollständig</v>
      </c>
      <c r="D26" s="110" t="str">
        <f>IF(H26=1,"Click here to answer question 3 for Gold","")</f>
        <v/>
      </c>
      <c r="E26" s="84" t="s">
        <v>828</v>
      </c>
      <c r="F26" s="107">
        <f>IF(OR(B16="No",B21="No"),0,1)</f>
        <v>0</v>
      </c>
      <c r="G26" s="81">
        <f>IF(B26=0,1,0)</f>
        <v>1</v>
      </c>
      <c r="H26" s="82">
        <f>F26*G26</f>
        <v>0</v>
      </c>
      <c r="I26" s="179" t="str">
        <f ca="1">OFFSET(L!$C$1,MATCH("Checker"&amp;"Comp",L!$A:$A,0)-1,SL,,)</f>
        <v>Vollständig</v>
      </c>
      <c r="J26"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103" t="str">
        <f ca="1">Declaration!B41</f>
        <v xml:space="preserve">Wolfram  </v>
      </c>
      <c r="B27" s="102">
        <f>IF(AND($B$17="Yes",$B$22="Yes"),Declaration!D41,0)</f>
        <v>0</v>
      </c>
      <c r="C27" s="102" t="str">
        <f ca="1">IF(H27=1,J27,I27)</f>
        <v>Vollständig</v>
      </c>
      <c r="D27" s="110" t="str">
        <f>IF(H27=1,"Click here to answer question 3 for Tungsten","")</f>
        <v/>
      </c>
      <c r="E27" s="84" t="s">
        <v>828</v>
      </c>
      <c r="F27" s="107">
        <f>IF(OR(B17="No",B22="No"),0,1)</f>
        <v>0</v>
      </c>
      <c r="G27" s="81">
        <f>IF(B27=0,1,0)</f>
        <v>1</v>
      </c>
      <c r="H27" s="82">
        <f>F27*G27</f>
        <v>0</v>
      </c>
      <c r="I27" s="179" t="str">
        <f ca="1">OFFSET(L!$C$1,MATCH("Checker"&amp;"Comp",L!$A:$A,0)-1,SL,,)</f>
        <v>Vollständig</v>
      </c>
      <c r="J27"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102" t="str">
        <f ca="1">Declaration!B43</f>
        <v>4) Beziehen Schmelzereien in Ihrer Lieferkette ihre 3TG aus von Konflikten betroffenen und risikoreichen Gebieten? (*)</v>
      </c>
      <c r="B28" s="102"/>
      <c r="C28" s="102"/>
      <c r="D28" s="110"/>
      <c r="E28" s="84"/>
      <c r="F28" s="84"/>
      <c r="G28" s="84"/>
      <c r="H28" s="24"/>
      <c r="I28" s="179"/>
    </row>
    <row r="29" spans="1:10" ht="41.1" customHeight="1">
      <c r="A29" s="103" t="str">
        <f ca="1">Declaration!B44</f>
        <v xml:space="preserve">Tantal  </v>
      </c>
      <c r="B29" s="102">
        <f>IF(AND($B$14="Yes",$B$19="Yes"),Declaration!D44,0)</f>
        <v>0</v>
      </c>
      <c r="C29" s="102" t="str">
        <f ca="1">IF(H29=1,J29,I29)</f>
        <v>Vollständig</v>
      </c>
      <c r="D29" s="330" t="str">
        <f>IF(H29=1,"Click here to answer question 4 for Tantalum","")</f>
        <v/>
      </c>
      <c r="E29" s="84"/>
      <c r="F29" s="107">
        <f>F24</f>
        <v>0</v>
      </c>
      <c r="G29" s="81">
        <f t="shared" ref="G29" si="8">IF(B29=0,1,0)</f>
        <v>1</v>
      </c>
      <c r="H29" s="82">
        <f t="shared" ref="H29" si="9">F29*G29</f>
        <v>0</v>
      </c>
      <c r="I29" s="179" t="str">
        <f ca="1">OFFSET(L!$C$1,MATCH("Checker"&amp;"Comp",L!$A:$A,0)-1,SL,,)</f>
        <v>Vollständig</v>
      </c>
      <c r="J29" s="22"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103" t="str">
        <f ca="1">Declaration!B45</f>
        <v>Zinn  (*)</v>
      </c>
      <c r="B30" s="102" t="str">
        <f>IF(AND($B$15="Yes",$B$20="Yes"),Declaration!D45,0)</f>
        <v>No</v>
      </c>
      <c r="C30" s="102" t="str">
        <f ca="1">IF(H30=1,J30,I30)</f>
        <v>Vollständig</v>
      </c>
      <c r="D30" s="330" t="str">
        <f>IF(H30=1,"Click here to answer question 4 for Tin","")</f>
        <v/>
      </c>
      <c r="E30" s="84"/>
      <c r="F30" s="107">
        <f>F25</f>
        <v>1</v>
      </c>
      <c r="G30" s="81">
        <f>IF(B30=0,1,0)</f>
        <v>0</v>
      </c>
      <c r="H30" s="82">
        <f>F30*G30</f>
        <v>0</v>
      </c>
      <c r="I30" s="179" t="str">
        <f ca="1">OFFSET(L!$C$1,MATCH("Checker"&amp;"Comp",L!$A:$A,0)-1,SL,,)</f>
        <v>Vollständig</v>
      </c>
      <c r="J30" s="22"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103" t="str">
        <f ca="1">Declaration!B46</f>
        <v xml:space="preserve">Gold  </v>
      </c>
      <c r="B31" s="102">
        <f>IF(AND($B$16="Yes",$B$21="Yes"),Declaration!D46,0)</f>
        <v>0</v>
      </c>
      <c r="C31" s="102" t="str">
        <f ca="1">IF(H31=1,J31,I31)</f>
        <v>Vollständig</v>
      </c>
      <c r="D31" s="330" t="str">
        <f>IF(H31=1,"Click here to answer question 4 for Gold","")</f>
        <v/>
      </c>
      <c r="E31" s="84"/>
      <c r="F31" s="107">
        <f>F26</f>
        <v>0</v>
      </c>
      <c r="G31" s="81">
        <f>IF(B31=0,1,0)</f>
        <v>1</v>
      </c>
      <c r="H31" s="82">
        <f>F31*G31</f>
        <v>0</v>
      </c>
      <c r="I31" s="179" t="str">
        <f ca="1">OFFSET(L!$C$1,MATCH("Checker"&amp;"Comp",L!$A:$A,0)-1,SL,,)</f>
        <v>Vollständig</v>
      </c>
      <c r="J31" s="22"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103" t="str">
        <f ca="1">Declaration!B47</f>
        <v xml:space="preserve">Wolfram  </v>
      </c>
      <c r="B32" s="102">
        <f>IF(AND($B$17="Yes",$B$22="Yes"),Declaration!D47,0)</f>
        <v>0</v>
      </c>
      <c r="C32" s="102" t="str">
        <f ca="1">IF(H32=1,J32,I32)</f>
        <v>Vollständig</v>
      </c>
      <c r="D32" s="330" t="str">
        <f>IF(H32=1,"Click here to answer question 4 for Tungsten","")</f>
        <v/>
      </c>
      <c r="E32" s="84"/>
      <c r="F32" s="107">
        <f>F27</f>
        <v>0</v>
      </c>
      <c r="G32" s="81">
        <f>IF(B32=0,1,0)</f>
        <v>1</v>
      </c>
      <c r="H32" s="82">
        <f>F32*G32</f>
        <v>0</v>
      </c>
      <c r="I32" s="179" t="str">
        <f ca="1">OFFSET(L!$C$1,MATCH("Checker"&amp;"Comp",L!$A:$A,0)-1,SL,,)</f>
        <v>Vollständig</v>
      </c>
      <c r="J32" s="22"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102" t="str">
        <f ca="1">Declaration!B49</f>
        <v>5) Stammt das für die Funktionalität oder  Herstellung Ihrer Produkte benötigte 3TG-Mineral zu 100 % aus Recycling- oder Schrottquellen?  (*)</v>
      </c>
      <c r="B33" s="105"/>
      <c r="C33" s="105"/>
      <c r="D33" s="109"/>
      <c r="E33" s="84" t="s">
        <v>1330</v>
      </c>
      <c r="F33" s="106"/>
      <c r="G33" s="24"/>
      <c r="H33" s="24"/>
      <c r="J33" s="180"/>
    </row>
    <row r="34" spans="1:10" ht="39">
      <c r="A34" s="103" t="str">
        <f ca="1">Declaration!B50</f>
        <v xml:space="preserve">Tantal  </v>
      </c>
      <c r="B34" s="102">
        <f>IF(AND($B$14="Yes",$B$19="Yes"),Declaration!D50,0)</f>
        <v>0</v>
      </c>
      <c r="C34" s="102" t="str">
        <f ca="1">IF(H34=1,J34,I34)</f>
        <v>Vollständig</v>
      </c>
      <c r="D34" s="330" t="str">
        <f>IF(H34=1,"Click here to answer question 5 for Tantalum","")</f>
        <v/>
      </c>
      <c r="E34" s="84" t="s">
        <v>1330</v>
      </c>
      <c r="F34" s="107">
        <f>F24</f>
        <v>0</v>
      </c>
      <c r="G34" s="81">
        <f>IF(B34=0,1,0)</f>
        <v>1</v>
      </c>
      <c r="H34" s="82">
        <f>F34*G34</f>
        <v>0</v>
      </c>
      <c r="I34" s="179" t="str">
        <f ca="1">OFFSET(L!$C$1,MATCH("Checker"&amp;"Comp",L!$A:$A,0)-1,SL,,)</f>
        <v>Vollständig</v>
      </c>
      <c r="J34" s="180"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103" t="str">
        <f ca="1">Declaration!B51</f>
        <v>Zinn  (*)</v>
      </c>
      <c r="B35" s="102" t="str">
        <f>IF(AND($B$15="Yes",$B$20="Yes"),Declaration!D51,0)</f>
        <v>Yes</v>
      </c>
      <c r="C35" s="102" t="str">
        <f ca="1">IF(H35=1,J35,I35)</f>
        <v>Vollständig</v>
      </c>
      <c r="D35" s="330" t="str">
        <f>IF(H35=1,"Click here to answer question 5 for Tin","")</f>
        <v/>
      </c>
      <c r="E35" s="84" t="s">
        <v>1330</v>
      </c>
      <c r="F35" s="107">
        <f>F25</f>
        <v>1</v>
      </c>
      <c r="G35" s="81">
        <f>IF(B35=0,1,0)</f>
        <v>0</v>
      </c>
      <c r="H35" s="82">
        <f>F35*G35</f>
        <v>0</v>
      </c>
      <c r="I35" s="179" t="str">
        <f ca="1">OFFSET(L!$C$1,MATCH("Checker"&amp;"Comp",L!$A:$A,0)-1,SL,,)</f>
        <v>Vollständig</v>
      </c>
      <c r="J35" s="180"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103" t="str">
        <f ca="1">Declaration!B52</f>
        <v xml:space="preserve">Gold  </v>
      </c>
      <c r="B36" s="102">
        <f>IF(AND($B$16="Yes",$B$21="Yes"),Declaration!D52,0)</f>
        <v>0</v>
      </c>
      <c r="C36" s="102" t="str">
        <f ca="1">IF(H36=1,J36,I36)</f>
        <v>Vollständig</v>
      </c>
      <c r="D36" s="330" t="str">
        <f>IF(H36=1,"Click here to answer question 5 for Gold","")</f>
        <v/>
      </c>
      <c r="E36" s="84" t="s">
        <v>1330</v>
      </c>
      <c r="F36" s="107">
        <f>F26</f>
        <v>0</v>
      </c>
      <c r="G36" s="81">
        <f>IF(B36=0,1,0)</f>
        <v>1</v>
      </c>
      <c r="H36" s="82">
        <f>F36*G36</f>
        <v>0</v>
      </c>
      <c r="I36" s="179" t="str">
        <f ca="1">OFFSET(L!$C$1,MATCH("Checker"&amp;"Comp",L!$A:$A,0)-1,SL,,)</f>
        <v>Vollständig</v>
      </c>
      <c r="J36" s="180"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103" t="str">
        <f ca="1">Declaration!B53</f>
        <v xml:space="preserve">Wolfram  </v>
      </c>
      <c r="B37" s="102">
        <f>IF(AND($B$17="Yes",$B$22="Yes"),Declaration!D53,0)</f>
        <v>0</v>
      </c>
      <c r="C37" s="102" t="str">
        <f ca="1">IF(H37=1,J37,I37)</f>
        <v>Vollständig</v>
      </c>
      <c r="D37" s="330" t="str">
        <f>IF(H37=1,"Click here to answer question 5 for Tungsten","")</f>
        <v/>
      </c>
      <c r="E37" s="84" t="s">
        <v>1330</v>
      </c>
      <c r="F37" s="107">
        <f>F27</f>
        <v>0</v>
      </c>
      <c r="G37" s="81">
        <f>IF(B37=0,1,0)</f>
        <v>1</v>
      </c>
      <c r="H37" s="82">
        <f>F37*G37</f>
        <v>0</v>
      </c>
      <c r="I37" s="179" t="str">
        <f ca="1">OFFSET(L!$C$1,MATCH("Checker"&amp;"Comp",L!$A:$A,0)-1,SL,,)</f>
        <v>Vollständig</v>
      </c>
      <c r="J37" s="180"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102" t="str">
        <f ca="1">Declaration!B55</f>
        <v>6) Wie hoch ist der Prozentsatz an Lieferanten, die auf Ihre Lieferkettenumfrage geantwortet haben? (*)</v>
      </c>
      <c r="B38" s="105"/>
      <c r="C38" s="105"/>
      <c r="D38" s="109"/>
      <c r="E38" s="84" t="s">
        <v>828</v>
      </c>
      <c r="F38" s="106"/>
      <c r="G38" s="24"/>
      <c r="H38" s="24"/>
    </row>
    <row r="39" spans="1:10" ht="26.25">
      <c r="A39" s="103" t="str">
        <f ca="1">Declaration!B56</f>
        <v xml:space="preserve">Tantal  </v>
      </c>
      <c r="B39" s="299">
        <f>IF(AND($B$14="Yes",$B$19="Yes"),Declaration!D56,0)</f>
        <v>0</v>
      </c>
      <c r="C39" s="102" t="str">
        <f ca="1">IF(H39=1,J39,I39)</f>
        <v>Vollständig</v>
      </c>
      <c r="D39" s="331" t="str">
        <f>IF(H39=1,"Click here to answer question 6 for Tantalum","")</f>
        <v/>
      </c>
      <c r="E39" s="84" t="s">
        <v>827</v>
      </c>
      <c r="F39" s="107">
        <f>F24</f>
        <v>0</v>
      </c>
      <c r="G39" s="81">
        <f>IF(B39=0,1,0)</f>
        <v>1</v>
      </c>
      <c r="H39" s="82">
        <f>F39*G39</f>
        <v>0</v>
      </c>
      <c r="I39" s="179" t="str">
        <f ca="1">OFFSET(L!$C$1,MATCH("Checker"&amp;"Comp",L!$A:$A,0)-1,SL,,)</f>
        <v>Vollständig</v>
      </c>
      <c r="J39" s="22" t="str">
        <f ca="1">OFFSET(L!$C$1,MATCH("Checker"&amp;ADDRESS(ROW(),COLUMN(),4),L!$A:$A,0)-1,SL,,)</f>
        <v>Geben Sie den Vollständigkeitsgrad der Schmelzofeninformationen des Anbieters in Prozent in der Reiterzelle D50 der Erklärung an</v>
      </c>
    </row>
    <row r="40" spans="1:10" ht="26.25">
      <c r="A40" s="103" t="str">
        <f ca="1">Declaration!B57</f>
        <v>Zinn  (*)</v>
      </c>
      <c r="B40" s="299">
        <f>IF(AND($B$15="Yes",$B$20="Yes"),Declaration!D57,0)</f>
        <v>1</v>
      </c>
      <c r="C40" s="102" t="str">
        <f ca="1">IF(H40=1,J40,I40)</f>
        <v>Vollständig</v>
      </c>
      <c r="D40" s="331" t="str">
        <f>IF(H40=1,"Click here to answer question 6 for Tin","")</f>
        <v/>
      </c>
      <c r="E40" s="84" t="s">
        <v>827</v>
      </c>
      <c r="F40" s="107">
        <f>F25</f>
        <v>1</v>
      </c>
      <c r="G40" s="81">
        <f>IF(B40=0,1,0)</f>
        <v>0</v>
      </c>
      <c r="H40" s="82">
        <f>F40*G40</f>
        <v>0</v>
      </c>
      <c r="I40" s="179" t="str">
        <f ca="1">OFFSET(L!$C$1,MATCH("Checker"&amp;"Comp",L!$A:$A,0)-1,SL,,)</f>
        <v>Vollständig</v>
      </c>
      <c r="J40" s="22" t="str">
        <f ca="1">OFFSET(L!$C$1,MATCH("Checker"&amp;ADDRESS(ROW(),COLUMN(),4),L!$A:$A,0)-1,SL,,)</f>
        <v>Geben Sie den Vollständigkeitsgrad der Schmelzofeninformationen des Anbieters in Prozent in der Reiterzelle D51 der Erklärung an</v>
      </c>
    </row>
    <row r="41" spans="1:10" ht="26.25">
      <c r="A41" s="103" t="str">
        <f ca="1">Declaration!B58</f>
        <v xml:space="preserve">Gold  </v>
      </c>
      <c r="B41" s="299">
        <f>IF(AND($B$16="Yes",$B$21="Yes"),Declaration!D58,0)</f>
        <v>0</v>
      </c>
      <c r="C41" s="102" t="str">
        <f ca="1">IF(H41=1,J41,I41)</f>
        <v>Vollständig</v>
      </c>
      <c r="D41" s="331" t="str">
        <f>IF(H41=1,"Click here to answer question 6 for Gold","")</f>
        <v/>
      </c>
      <c r="E41" s="84" t="s">
        <v>827</v>
      </c>
      <c r="F41" s="107">
        <f>F26</f>
        <v>0</v>
      </c>
      <c r="G41" s="81">
        <f>IF(B41=0,1,0)</f>
        <v>1</v>
      </c>
      <c r="H41" s="82">
        <f>F41*G41</f>
        <v>0</v>
      </c>
      <c r="I41" s="179" t="str">
        <f ca="1">OFFSET(L!$C$1,MATCH("Checker"&amp;"Comp",L!$A:$A,0)-1,SL,,)</f>
        <v>Vollständig</v>
      </c>
      <c r="J41" s="22" t="str">
        <f ca="1">OFFSET(L!$C$1,MATCH("Checker"&amp;ADDRESS(ROW(),COLUMN(),4),L!$A:$A,0)-1,SL,,)</f>
        <v>Geben Sie den Vollständigkeitsgrad der Schmelzofeninformationen des Anbieters in Prozent in der Reiterzelle D52 der Erklärung an</v>
      </c>
    </row>
    <row r="42" spans="1:10" ht="26.25">
      <c r="A42" s="103" t="str">
        <f ca="1">Declaration!B59</f>
        <v xml:space="preserve">Wolfram  </v>
      </c>
      <c r="B42" s="299">
        <f>IF(AND($B$17="Yes",$B$22="Yes"),Declaration!D59,0)</f>
        <v>0</v>
      </c>
      <c r="C42" s="102" t="str">
        <f ca="1">IF(H42=1,J42,I42)</f>
        <v>Vollständig</v>
      </c>
      <c r="D42" s="331" t="str">
        <f>IF(H42=1,"Click here to answer question 6 for Tungsten","")</f>
        <v/>
      </c>
      <c r="E42" s="84" t="s">
        <v>827</v>
      </c>
      <c r="F42" s="107">
        <f>F27</f>
        <v>0</v>
      </c>
      <c r="G42" s="81">
        <f>IF(B42=0,1,0)</f>
        <v>1</v>
      </c>
      <c r="H42" s="82">
        <f>F42*G42</f>
        <v>0</v>
      </c>
      <c r="I42" s="179" t="str">
        <f ca="1">OFFSET(L!$C$1,MATCH("Checker"&amp;"Comp",L!$A:$A,0)-1,SL,,)</f>
        <v>Vollständig</v>
      </c>
      <c r="J42" s="22" t="str">
        <f ca="1">OFFSET(L!$C$1,MATCH("Checker"&amp;ADDRESS(ROW(),COLUMN(),4),L!$A:$A,0)-1,SL,,)</f>
        <v>Geben Sie den Vollständigkeitsgrad der Schmelzofeninformationen des Anbieters in Prozent in der Reiterzelle D53 der Erklärung an</v>
      </c>
    </row>
    <row r="43" spans="1:10" ht="51">
      <c r="A43" s="102" t="str">
        <f ca="1">Declaration!B61</f>
        <v>7) Haben Sie alle Schmelzhütten ermittelt, die das 3TG-Mineral für Ihre Lieferkette bereitstellen?  (*)</v>
      </c>
      <c r="B43" s="105"/>
      <c r="C43" s="105"/>
      <c r="D43" s="109"/>
      <c r="E43" s="84" t="s">
        <v>829</v>
      </c>
      <c r="F43" s="106"/>
      <c r="G43" s="24"/>
      <c r="H43" s="24"/>
    </row>
    <row r="44" spans="1:10" ht="51.75">
      <c r="A44" s="103" t="str">
        <f ca="1">Declaration!B62</f>
        <v xml:space="preserve">Tantal  </v>
      </c>
      <c r="B44" s="102">
        <f>IF(AND($B$14="Yes",$B$19="Yes"),Declaration!D62,0)</f>
        <v>0</v>
      </c>
      <c r="C44" s="102" t="str">
        <f ca="1">IF(H44=1,J44,I44)</f>
        <v>Vollständig</v>
      </c>
      <c r="D44" s="330" t="str">
        <f>IF(H44=1,"Click here to answer question 7 for Tantalum","")</f>
        <v/>
      </c>
      <c r="E44" s="84" t="s">
        <v>1326</v>
      </c>
      <c r="F44" s="107">
        <f>F24</f>
        <v>0</v>
      </c>
      <c r="G44" s="81">
        <f>IF(B44=0,1,0)</f>
        <v>1</v>
      </c>
      <c r="H44" s="82">
        <f>F44*G44</f>
        <v>0</v>
      </c>
      <c r="I44" s="179" t="str">
        <f ca="1">OFFSET(L!$C$1,MATCH("Checker"&amp;"Comp",L!$A:$A,0)-1,SL,,)</f>
        <v>Vollständig</v>
      </c>
      <c r="J44" s="22" t="str">
        <f ca="1">OFFSET(L!$C$1,MATCH("Checker"&amp;ADDRESS(ROW(),COLUMN(),4),L!$A:$A,0)-1,SL,,)</f>
        <v xml:space="preserve">Geben Sie in der Reiterzelle D56 der Erklärung an, ob alle Schmelzofennamen in der Antwort auf diese Umfrage im Umfang der angegebenen Produkte zur Verfügung gestellt worden sind </v>
      </c>
    </row>
    <row r="45" spans="1:10" ht="51.75">
      <c r="A45" s="103" t="str">
        <f ca="1">Declaration!B63</f>
        <v>Zinn  (*)</v>
      </c>
      <c r="B45" s="102" t="str">
        <f>IF(AND($B$15="Yes",$B$20="Yes"),Declaration!D63,0)</f>
        <v>Yes</v>
      </c>
      <c r="C45" s="102" t="str">
        <f ca="1">IF(H45=1,J45,I45)</f>
        <v>Vollständig</v>
      </c>
      <c r="D45" s="330" t="str">
        <f>IF(H45=1,"Click here to answer question 7 for Tin","")</f>
        <v/>
      </c>
      <c r="E45" s="84" t="s">
        <v>1326</v>
      </c>
      <c r="F45" s="107">
        <f>F25</f>
        <v>1</v>
      </c>
      <c r="G45" s="81">
        <f>IF(B45=0,1,0)</f>
        <v>0</v>
      </c>
      <c r="H45" s="82">
        <f>F45*G45</f>
        <v>0</v>
      </c>
      <c r="I45" s="179" t="str">
        <f ca="1">OFFSET(L!$C$1,MATCH("Checker"&amp;"Comp",L!$A:$A,0)-1,SL,,)</f>
        <v>Vollständig</v>
      </c>
      <c r="J45" s="22" t="str">
        <f ca="1">OFFSET(L!$C$1,MATCH("Checker"&amp;ADDRESS(ROW(),COLUMN(),4),L!$A:$A,0)-1,SL,,)</f>
        <v xml:space="preserve">Geben Sie in der Reiterzelle D57 der Erklärung an, ob alle Schmelzofennamen in der Antwort auf diese Umfrage im Umfang der angegebenen Produkte zur Verfügung gestellt worden sind </v>
      </c>
    </row>
    <row r="46" spans="1:10" ht="51.75">
      <c r="A46" s="103" t="str">
        <f ca="1">Declaration!B64</f>
        <v xml:space="preserve">Gold  </v>
      </c>
      <c r="B46" s="102">
        <f>IF(AND($B$16="Yes",$B$21="Yes"),Declaration!D64,0)</f>
        <v>0</v>
      </c>
      <c r="C46" s="102" t="str">
        <f ca="1">IF(H46=1,J46,I46)</f>
        <v>Vollständig</v>
      </c>
      <c r="D46" s="330" t="str">
        <f>IF(H46=1,"Click here to answer question 7 for Gold","")</f>
        <v/>
      </c>
      <c r="E46" s="84" t="s">
        <v>1326</v>
      </c>
      <c r="F46" s="107">
        <f>F26</f>
        <v>0</v>
      </c>
      <c r="G46" s="81">
        <f>IF(B46=0,1,0)</f>
        <v>1</v>
      </c>
      <c r="H46" s="82">
        <f>F46*G46</f>
        <v>0</v>
      </c>
      <c r="I46" s="179" t="str">
        <f ca="1">OFFSET(L!$C$1,MATCH("Checker"&amp;"Comp",L!$A:$A,0)-1,SL,,)</f>
        <v>Vollständig</v>
      </c>
      <c r="J46" s="22" t="str">
        <f ca="1">OFFSET(L!$C$1,MATCH("Checker"&amp;ADDRESS(ROW(),COLUMN(),4),L!$A:$A,0)-1,SL,,)</f>
        <v xml:space="preserve">Geben Sie in der Reiterzelle D58 der Erklärung an, ob alle Schmelzofennamen in der Antwort auf diese Umfrage im Umfang der angegebenen Produkte zur Verfügung gestellt worden sind </v>
      </c>
    </row>
    <row r="47" spans="1:10" ht="51.75">
      <c r="A47" s="103" t="str">
        <f ca="1">Declaration!B65</f>
        <v xml:space="preserve">Wolfram  </v>
      </c>
      <c r="B47" s="102">
        <f>IF(AND($B$17="Yes",$B$22="Yes"),Declaration!D65,0)</f>
        <v>0</v>
      </c>
      <c r="C47" s="102" t="str">
        <f ca="1">IF(H47=1,J47,I47)</f>
        <v>Vollständig</v>
      </c>
      <c r="D47" s="330" t="str">
        <f>IF(H47=1,"Click here to answer question 7 for Tungsten","")</f>
        <v/>
      </c>
      <c r="E47" s="84" t="s">
        <v>1326</v>
      </c>
      <c r="F47" s="107">
        <f>F27</f>
        <v>0</v>
      </c>
      <c r="G47" s="81">
        <f>IF(B47=0,1,0)</f>
        <v>1</v>
      </c>
      <c r="H47" s="82">
        <f>F47*G47</f>
        <v>0</v>
      </c>
      <c r="I47" s="179" t="str">
        <f ca="1">OFFSET(L!$C$1,MATCH("Checker"&amp;"Comp",L!$A:$A,0)-1,SL,,)</f>
        <v>Vollständig</v>
      </c>
      <c r="J47" s="22" t="str">
        <f ca="1">OFFSET(L!$C$1,MATCH("Checker"&amp;ADDRESS(ROW(),COLUMN(),4),L!$A:$A,0)-1,SL,,)</f>
        <v xml:space="preserve">Geben Sie in der Reiterzelle D59 der Erklärung an, ob alle Schmelzofennamen in der Antwort auf diese Umfrage im Umfang der angegebenen Produkte zur Verfügung gestellt worden sind </v>
      </c>
    </row>
    <row r="48" spans="1:10" ht="63.75">
      <c r="A48" s="102" t="str">
        <f ca="1">Declaration!B67</f>
        <v>8) Haben Sie alle relevanten Informationen, die Ihr Unternehmen zu den Schmelzhütten erhalten hat, in dieser Erklärung aufgeführt?  (*)</v>
      </c>
      <c r="B48" s="105"/>
      <c r="C48" s="105"/>
      <c r="D48" s="109"/>
      <c r="E48" s="84" t="s">
        <v>830</v>
      </c>
      <c r="F48" s="106"/>
      <c r="G48" s="24"/>
      <c r="H48" s="24"/>
    </row>
    <row r="49" spans="1:10" ht="39">
      <c r="A49" s="103" t="str">
        <f ca="1">Declaration!B68</f>
        <v xml:space="preserve">Tantal  </v>
      </c>
      <c r="B49" s="102">
        <f>IF(AND($B$14="Yes",$B$19="Yes"),Declaration!D68,0)</f>
        <v>0</v>
      </c>
      <c r="C49" s="102" t="str">
        <f ca="1">IF(H49=1,J49,I49)</f>
        <v>Vollständig</v>
      </c>
      <c r="D49" s="331" t="str">
        <f>IF(H49=1,"Click here to answer question 8 for Tantalum","")</f>
        <v/>
      </c>
      <c r="E49" s="84" t="s">
        <v>828</v>
      </c>
      <c r="F49" s="107">
        <f>F24</f>
        <v>0</v>
      </c>
      <c r="G49" s="81">
        <f>IF(B49=0,1,0)</f>
        <v>1</v>
      </c>
      <c r="H49" s="82">
        <f>F49*G49</f>
        <v>0</v>
      </c>
      <c r="I49" s="179" t="str">
        <f ca="1">OFFSET(L!$C$1,MATCH("Checker"&amp;"Comp",L!$A:$A,0)-1,SL,,)</f>
        <v>Vollständig</v>
      </c>
      <c r="J49" s="22" t="str">
        <f ca="1">OFFSET(L!$C$1,MATCH("Checker"&amp;ADDRESS(ROW(),COLUMN(),4),L!$A:$A,0)-1,SL,,)</f>
        <v xml:space="preserve">Geben Sie in der Reiterzelle D62 der Erklärung an, ob alle Informationen über Tantalum-Schmelzöfen zur Verfügung gestellt worden sind </v>
      </c>
    </row>
    <row r="50" spans="1:10" ht="39">
      <c r="A50" s="103" t="str">
        <f ca="1">Declaration!B69</f>
        <v>Zinn  (*)</v>
      </c>
      <c r="B50" s="102" t="str">
        <f>IF(AND($B$15="Yes",$B$20="Yes"),Declaration!D69,0)</f>
        <v>Yes</v>
      </c>
      <c r="C50" s="102" t="str">
        <f ca="1">IF(H50=1,J50,I50)</f>
        <v>Vollständig</v>
      </c>
      <c r="D50" s="331" t="str">
        <f>IF(H50=1,"Click here to answer question 8 for Tin","")</f>
        <v/>
      </c>
      <c r="E50" s="84" t="s">
        <v>828</v>
      </c>
      <c r="F50" s="107">
        <f>F25</f>
        <v>1</v>
      </c>
      <c r="G50" s="81">
        <f>IF(B50=0,1,0)</f>
        <v>0</v>
      </c>
      <c r="H50" s="82">
        <f>F50*G50</f>
        <v>0</v>
      </c>
      <c r="I50" s="179" t="str">
        <f ca="1">OFFSET(L!$C$1,MATCH("Checker"&amp;"Comp",L!$A:$A,0)-1,SL,,)</f>
        <v>Vollständig</v>
      </c>
      <c r="J50" s="22" t="str">
        <f ca="1">OFFSET(L!$C$1,MATCH("Checker"&amp;ADDRESS(ROW(),COLUMN(),4),L!$A:$A,0)-1,SL,,)</f>
        <v xml:space="preserve">Geben Sie in der Reiterzelle D63 der Erklärung an, ob alle Informationen über Zinn-Schmelzöfen zur Verfügung gestellt worden sind </v>
      </c>
    </row>
    <row r="51" spans="1:10" ht="39">
      <c r="A51" s="103" t="str">
        <f ca="1">Declaration!B70</f>
        <v xml:space="preserve">Gold  </v>
      </c>
      <c r="B51" s="102">
        <f>IF(AND($B$16="Yes",$B$21="Yes"),Declaration!D70,0)</f>
        <v>0</v>
      </c>
      <c r="C51" s="102" t="str">
        <f ca="1">IF(H51=1,J51,I51)</f>
        <v>Vollständig</v>
      </c>
      <c r="D51" s="331" t="str">
        <f>IF(H51=1,"Click here to answer question 8 for Gold","")</f>
        <v/>
      </c>
      <c r="E51" s="84" t="s">
        <v>828</v>
      </c>
      <c r="F51" s="107">
        <f>F26</f>
        <v>0</v>
      </c>
      <c r="G51" s="81">
        <f>IF(B51=0,1,0)</f>
        <v>1</v>
      </c>
      <c r="H51" s="82">
        <f>F51*G51</f>
        <v>0</v>
      </c>
      <c r="I51" s="179" t="str">
        <f ca="1">OFFSET(L!$C$1,MATCH("Checker"&amp;"Comp",L!$A:$A,0)-1,SL,,)</f>
        <v>Vollständig</v>
      </c>
      <c r="J51" s="22" t="str">
        <f ca="1">OFFSET(L!$C$1,MATCH("Checker"&amp;ADDRESS(ROW(),COLUMN(),4),L!$A:$A,0)-1,SL,,)</f>
        <v xml:space="preserve">Geben Sie in der Reiterzelle D64 der Erklärung an, ob alle Informationen über Gold-Schmelzöfen zur Verfügung gestellt worden sind </v>
      </c>
    </row>
    <row r="52" spans="1:10" ht="39">
      <c r="A52" s="103" t="str">
        <f ca="1">Declaration!B71</f>
        <v xml:space="preserve">Wolfram  </v>
      </c>
      <c r="B52" s="102">
        <f>IF(AND($B$17="Yes",$B$22="Yes"),Declaration!D71,0)</f>
        <v>0</v>
      </c>
      <c r="C52" s="102" t="str">
        <f ca="1">IF(H52=1,J52,I52)</f>
        <v>Vollständig</v>
      </c>
      <c r="D52" s="331" t="str">
        <f>IF(H52=1,"Click here to answer question 8 for Tungsten","")</f>
        <v/>
      </c>
      <c r="E52" s="84" t="s">
        <v>828</v>
      </c>
      <c r="F52" s="107">
        <f>F27</f>
        <v>0</v>
      </c>
      <c r="G52" s="81">
        <f>IF(B52=0,1,0)</f>
        <v>1</v>
      </c>
      <c r="H52" s="82">
        <f>F52*G52</f>
        <v>0</v>
      </c>
      <c r="I52" s="179" t="str">
        <f ca="1">OFFSET(L!$C$1,MATCH("Checker"&amp;"Comp",L!$A:$A,0)-1,SL,,)</f>
        <v>Vollständig</v>
      </c>
      <c r="J52" s="22" t="str">
        <f ca="1">OFFSET(L!$C$1,MATCH("Checker"&amp;ADDRESS(ROW(),COLUMN(),4),L!$A:$A,0)-1,SL,,)</f>
        <v xml:space="preserve">Geben Sie in der Reiterzelle D65 der Erklärung an, ob alle Informationen über Tungsten-Schmelzöfen zur Verfügung gestellt worden sind </v>
      </c>
    </row>
    <row r="53" spans="1:10" ht="25.5">
      <c r="A53" s="102" t="str">
        <f ca="1">Declaration!B74</f>
        <v>Frage</v>
      </c>
      <c r="B53" s="105"/>
      <c r="C53" s="105"/>
      <c r="D53" s="109"/>
      <c r="E53" s="84" t="s">
        <v>451</v>
      </c>
      <c r="F53" s="106"/>
      <c r="G53" s="106"/>
      <c r="H53" s="106"/>
    </row>
    <row r="54" spans="1:10" ht="39">
      <c r="A54" s="102" t="str">
        <f ca="1">Declaration!B75</f>
        <v>A. Haben Sie eine konflkitfreie Beschaffungsrichtlinie für Mineralien erstellt? (*)</v>
      </c>
      <c r="B54" s="102" t="str">
        <f>Declaration!D75</f>
        <v>Yes</v>
      </c>
      <c r="C54" s="102" t="str">
        <f t="shared" ref="C54:C60" ca="1" si="10">IF(H54=1,J54,I54)</f>
        <v>Vollständig</v>
      </c>
      <c r="D54" s="108" t="str">
        <f>IF(H54=1,"Click here to answer question (A)","")</f>
        <v/>
      </c>
      <c r="E54" s="84" t="s">
        <v>1330</v>
      </c>
      <c r="F54" s="107">
        <f>IF(SUM(F$24:F$27)=0,0,1)</f>
        <v>1</v>
      </c>
      <c r="G54" s="81">
        <f>IF(B54=0,1,0)</f>
        <v>0</v>
      </c>
      <c r="H54" s="82">
        <f t="shared" ref="H54:H60" si="11">F54*G54</f>
        <v>0</v>
      </c>
      <c r="I54" s="179" t="str">
        <f ca="1">OFFSET(L!$C$1,MATCH("Checker"&amp;"Comp",L!$A:$A,0)-1,SL,,)</f>
        <v>Vollständig</v>
      </c>
      <c r="J54" s="22" t="str">
        <f ca="1">OFFSET(L!$C$1,MATCH("Checker"&amp;ADDRESS(ROW(),COLUMN(),4),L!$A:$A,0)-1,SL,,)</f>
        <v>Geben Sie in Zelle D75 der Erklärung an, ob Ihr Unternehmen Ihre Richtlinie zur konfliktfreien Mineralieneschaffung auf seiner Website öffentlich verfügbar gemacht hat</v>
      </c>
    </row>
    <row r="55" spans="1:10" ht="54.75" customHeight="1">
      <c r="A55" s="102" t="str">
        <f ca="1">Declaration!B77</f>
        <v>B. Ist Ihre konflkitfreie Beschaffungsrichtlinie für Mineralien auf Ihrer Website einsehbar? (Hinweis - Wenn „Ja“, sollte der Benutzer die URL im Anmerkungsfeld angeben.) (*)</v>
      </c>
      <c r="B55" s="102" t="str">
        <f>Declaration!D77</f>
        <v>No</v>
      </c>
      <c r="C55" s="102" t="str">
        <f t="shared" ca="1" si="10"/>
        <v>Vollständig</v>
      </c>
      <c r="D55" s="108" t="str">
        <f>IF(H55=1,"Click here to answer question (B)","")</f>
        <v/>
      </c>
      <c r="E55" s="84" t="s">
        <v>1330</v>
      </c>
      <c r="F55" s="107">
        <f t="shared" ref="F55" si="12">F$54</f>
        <v>1</v>
      </c>
      <c r="G55" s="81">
        <f>IF(B55=0,1,0)</f>
        <v>0</v>
      </c>
      <c r="H55" s="82">
        <f t="shared" si="11"/>
        <v>0</v>
      </c>
      <c r="I55" s="179" t="str">
        <f ca="1">OFFSET(L!$C$1,MATCH("Checker"&amp;"Comp",L!$A:$A,0)-1,SL,,)</f>
        <v>Vollständig</v>
      </c>
      <c r="J55" s="22"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102" t="s">
        <v>6</v>
      </c>
      <c r="B56" s="102" t="str">
        <f>Declaration!G77</f>
        <v>Generic Company policy and Code of Conduct available</v>
      </c>
      <c r="C56" s="102" t="str">
        <f t="shared" ca="1" si="10"/>
        <v>Vollständig</v>
      </c>
      <c r="D56" s="108" t="str">
        <f>IF(H56=1,"Click here to specify URL for question (B)","")</f>
        <v/>
      </c>
      <c r="E56" s="84"/>
      <c r="F56" s="107">
        <f>IF(AND(F55=1,B55="Yes"),1,0)</f>
        <v>0</v>
      </c>
      <c r="G56" s="81">
        <f>IF(LEN(B56)&gt;1,0,1)</f>
        <v>0</v>
      </c>
      <c r="H56" s="82">
        <f t="shared" si="11"/>
        <v>0</v>
      </c>
      <c r="I56" s="179" t="str">
        <f ca="1">OFFSET(L!$C$1,MATCH("Checker"&amp;"Comp",L!$A:$A,0)-1,SL,,)</f>
        <v>Vollständig</v>
      </c>
      <c r="J56" s="170" t="str">
        <f ca="1">OFFSET(L!$C$1,MATCH("Checker"&amp;ADDRESS(ROW(),COLUMN(),4),L!$A:$A,0)-1,SL,,)</f>
        <v xml:space="preserve">Geben Sie in der Arbeitsblattzelle D77 der Erklärung den URL an, falls Sie Frage B mit „Ja“ beantworten. Das Format des URL sollte „www.companyname.com“ entsprechen </v>
      </c>
    </row>
    <row r="57" spans="1:10" ht="51">
      <c r="A57" s="102" t="str">
        <f ca="1">Declaration!B79</f>
        <v>C. Verlangen Sie von Ihren direkten Lieferanten, das 3TG-Mineral ausschließlich von Schmelzhütten zu beziehen, deren Due-Diligence-Praktiken von einer unabhängigen Instanz überprüft wurden? (*)</v>
      </c>
      <c r="B57" s="102" t="str">
        <f>Declaration!D79</f>
        <v>No</v>
      </c>
      <c r="C57" s="102" t="str">
        <f t="shared" ca="1" si="10"/>
        <v>Vollständig</v>
      </c>
      <c r="D57" s="108" t="str">
        <f>IF(H57=1,"Click here to answer question (C)","")</f>
        <v/>
      </c>
      <c r="E57" s="84" t="s">
        <v>1330</v>
      </c>
      <c r="F57" s="107">
        <f>F$54</f>
        <v>1</v>
      </c>
      <c r="G57" s="81">
        <f>IF(B57=0,1,0)</f>
        <v>0</v>
      </c>
      <c r="H57" s="82">
        <f t="shared" si="11"/>
        <v>0</v>
      </c>
      <c r="I57" s="179" t="str">
        <f ca="1">OFFSET(L!$C$1,MATCH("Checker"&amp;"Comp",L!$A:$A,0)-1,SL,,)</f>
        <v>Vollständig</v>
      </c>
      <c r="J57" s="22" t="str">
        <f ca="1">OFFSET(L!$C$1,MATCH("Checker"&amp;ADDRESS(ROW(),COLUMN(),4),L!$A:$A,0)-1,SL,,)</f>
        <v>Geben Sie in Zelle D79 der Erklärung an, ob Sie von Ihren direkten Lieferanten verlangen, bei Schmelzereien einzukaufen, deren Due-Diligence-Praktiken von unabhängigen Prüfungsprogramm Dritter überprüft worden sind</v>
      </c>
    </row>
    <row r="58" spans="1:10" ht="39">
      <c r="A58" s="102" t="str">
        <f ca="1">Declaration!B81</f>
        <v>D. Haben Sie Sorgfaltspflichtmaßnahmen für die konfliktfreie Beschaffung in Kraft gesetzt? (*)</v>
      </c>
      <c r="B58" s="102" t="str">
        <f>Declaration!D81</f>
        <v>Yes</v>
      </c>
      <c r="C58" s="102" t="str">
        <f t="shared" ca="1" si="10"/>
        <v>Vollständig</v>
      </c>
      <c r="D58" s="108" t="str">
        <f>IF(H58=1,"Click here to answer question (D)","")</f>
        <v/>
      </c>
      <c r="E58" s="84" t="s">
        <v>1330</v>
      </c>
      <c r="F58" s="107">
        <f>F$54</f>
        <v>1</v>
      </c>
      <c r="G58" s="81">
        <f>IF(B58=0,1,0)</f>
        <v>0</v>
      </c>
      <c r="H58" s="82">
        <f t="shared" si="11"/>
        <v>0</v>
      </c>
      <c r="I58" s="179" t="str">
        <f ca="1">OFFSET(L!$C$1,MATCH("Checker"&amp;"Comp",L!$A:$A,0)-1,SL,,)</f>
        <v>Vollständig</v>
      </c>
      <c r="J58" s="22" t="str">
        <f ca="1">OFFSET(L!$C$1,MATCH("Checker"&amp;ADDRESS(ROW(),COLUMN(),4),L!$A:$A,0)-1,SL,,)</f>
        <v>Geben Sie in Zelle D81 der Erklärung an, ob Sie Due-Diligence-Maßnahmen zur Beschaffung konfliktfreier Mineralien getroffen haben</v>
      </c>
    </row>
    <row r="59" spans="1:10" ht="39">
      <c r="A59" s="102" t="str">
        <f ca="1">Declaration!B83</f>
        <v>E. Veranstaltet Ihr Unternehmen (eine) Konfliktmineralienumfrage(n) mit seinen entsprechenden Lieferanten? (*)</v>
      </c>
      <c r="B59" s="102" t="str">
        <f>Declaration!D83</f>
        <v>Yes, in conformance with IPC1755 (e.g., CMRT)</v>
      </c>
      <c r="C59" s="102" t="str">
        <f t="shared" ca="1" si="10"/>
        <v>Vollständig</v>
      </c>
      <c r="D59" s="108" t="str">
        <f>IF(H59=1,"Click here to answer question (E)","")</f>
        <v/>
      </c>
      <c r="E59" s="84" t="s">
        <v>1330</v>
      </c>
      <c r="F59" s="107">
        <f>F$54</f>
        <v>1</v>
      </c>
      <c r="G59" s="81">
        <f>IF(B59=0,1,0)</f>
        <v>0</v>
      </c>
      <c r="H59" s="82">
        <f t="shared" si="11"/>
        <v>0</v>
      </c>
      <c r="I59" s="179" t="str">
        <f ca="1">OFFSET(L!$C$1,MATCH("Checker"&amp;"Comp",L!$A:$A,0)-1,SL,,)</f>
        <v>Vollständig</v>
      </c>
      <c r="J59" s="22" t="str">
        <f ca="1">OFFSET(L!$C$1,MATCH("Checker"&amp;ADDRESS(ROW(),COLUMN(),4),L!$A:$A,0)-1,SL,,)</f>
        <v>Geben Sie in der Reiterzelle D83 der Erklärung an, ob Sie von Ihren Lieferanten verlangen, diese Vorlage zur Berichterstattung über Konfliktmineralien auszufüllen</v>
      </c>
    </row>
    <row r="60" spans="1:10" ht="39">
      <c r="A60" s="102" t="str">
        <f ca="1">Declaration!B85</f>
        <v>F. Überprüfen Sie die Due-Diligence-Informationen, die Sie von ihren Lieferanten erhalten, anhand der Erwartungen Ihres Unternehmens? (*)</v>
      </c>
      <c r="B60" s="102" t="str">
        <f>Declaration!D85</f>
        <v>Yes</v>
      </c>
      <c r="C60" s="102" t="str">
        <f t="shared" ca="1" si="10"/>
        <v>Vollständig</v>
      </c>
      <c r="D60" s="108" t="str">
        <f>IF(H60=1,"Click here to answer question (F)","")</f>
        <v/>
      </c>
      <c r="E60" s="84" t="s">
        <v>1330</v>
      </c>
      <c r="F60" s="107">
        <f>F$54</f>
        <v>1</v>
      </c>
      <c r="G60" s="81">
        <f>IF(B60=0,1,0)</f>
        <v>0</v>
      </c>
      <c r="H60" s="82">
        <f t="shared" si="11"/>
        <v>0</v>
      </c>
      <c r="I60" s="179" t="str">
        <f ca="1">OFFSET(L!$C$1,MATCH("Checker"&amp;"Comp",L!$A:$A,0)-1,SL,,)</f>
        <v>Vollständig</v>
      </c>
      <c r="J60" s="22" t="str">
        <f ca="1">OFFSET(L!$C$1,MATCH("Checker"&amp;ADDRESS(ROW(),COLUMN(),4),L!$A:$A,0)-1,SL,,)</f>
        <v>Geben Sie in der Reiterzelle D85 der Erklärung an, ob Sie Antworten der Lieferanten auf die Anforderungen Ihres Unternehmens überprüfen</v>
      </c>
    </row>
    <row r="61" spans="1:10" ht="15" hidden="1">
      <c r="A61" s="102"/>
      <c r="B61" s="102"/>
      <c r="C61" s="102"/>
      <c r="D61" s="108"/>
      <c r="E61" s="84"/>
      <c r="F61" s="107"/>
      <c r="G61" s="81"/>
      <c r="H61" s="82"/>
      <c r="I61" s="179"/>
    </row>
    <row r="62" spans="1:10" ht="39">
      <c r="A62" s="102" t="str">
        <f ca="1">Declaration!B87</f>
        <v>G. Sieht Ihr Review-Prozess ein Korrekturmaßnahmen-Management vor? (*)</v>
      </c>
      <c r="B62" s="102" t="str">
        <f>Declaration!D87</f>
        <v>Yes</v>
      </c>
      <c r="C62" s="102" t="str">
        <f t="shared" ref="C62:C68" ca="1" si="13">IF(H62=1,J62,I62)</f>
        <v>Vollständig</v>
      </c>
      <c r="D62" s="108" t="str">
        <f>IF(H62=1,"Click here to answer question (G)","")</f>
        <v/>
      </c>
      <c r="E62" s="84" t="s">
        <v>1330</v>
      </c>
      <c r="F62" s="107">
        <f>F$54</f>
        <v>1</v>
      </c>
      <c r="G62" s="81">
        <f>IF(B62=0,1,0)</f>
        <v>0</v>
      </c>
      <c r="H62" s="82">
        <f t="shared" ref="H62:H69" si="14">F62*G62</f>
        <v>0</v>
      </c>
      <c r="I62" s="179" t="str">
        <f ca="1">OFFSET(L!$C$1,MATCH("Checker"&amp;"Comp",L!$A:$A,0)-1,SL,,)</f>
        <v>Vollständig</v>
      </c>
      <c r="J62" s="22" t="str">
        <f ca="1">OFFSET(L!$C$1,MATCH("Checker"&amp;ADDRESS(ROW(),COLUMN(),4),L!$A:$A,0)-1,SL,,)</f>
        <v>Geben Sie in der Reiterzelle D87 der Erklärung an, ob Ihr Prüfungsverfahren ein Abhilfemaßnahmen-Management umfasst</v>
      </c>
    </row>
    <row r="63" spans="1:10" ht="39">
      <c r="A63" s="102" t="str">
        <f ca="1">Declaration!B89</f>
        <v>H. Ist Ihr Unternehmen zu einer jährlichen Offenlegung der Konfliktmineralien verpflichtet? (*)</v>
      </c>
      <c r="B63" s="102" t="str">
        <f>Declaration!D89</f>
        <v>No</v>
      </c>
      <c r="C63" s="102" t="str">
        <f t="shared" ca="1" si="13"/>
        <v>Vollständig</v>
      </c>
      <c r="D63" s="108" t="str">
        <f>IF(H63=1,"Click here to answer question (H)","")</f>
        <v/>
      </c>
      <c r="E63" s="84" t="s">
        <v>1330</v>
      </c>
      <c r="F63" s="107">
        <f>F$54</f>
        <v>1</v>
      </c>
      <c r="G63" s="81">
        <f>IF(B63=0,1,0)</f>
        <v>0</v>
      </c>
      <c r="H63" s="82">
        <f t="shared" si="14"/>
        <v>0</v>
      </c>
      <c r="I63" s="179" t="str">
        <f ca="1">OFFSET(L!$C$1,MATCH("Checker"&amp;"Comp",L!$A:$A,0)-1,SL,,)</f>
        <v>Vollständig</v>
      </c>
      <c r="J63" s="22" t="str">
        <f ca="1">OFFSET(L!$C$1,MATCH("Checker"&amp;ADDRESS(ROW(),COLUMN(),4),L!$A:$A,0)-1,SL,,)</f>
        <v>Geben Sie in Zelle D89 der Erklärung an, ob Sie der Offenlegungspflicht gegenüber der SEC, der EU-Regelung oder beiden unterliegen</v>
      </c>
    </row>
    <row r="64" spans="1:10" ht="39">
      <c r="A64" s="102" t="s">
        <v>1323</v>
      </c>
      <c r="B64" s="102" t="str">
        <f>IF(G64=1,"No products or item numbers listed","One or more product / item numbers have been provided")</f>
        <v>No products or item numbers listed</v>
      </c>
      <c r="C64" s="102" t="str">
        <f t="shared" ca="1" si="13"/>
        <v>Vollständig</v>
      </c>
      <c r="D64" s="108" t="str">
        <f>IF(H64=1,"Click here to enter detail on Product List tab","")</f>
        <v/>
      </c>
      <c r="E64" s="84" t="s">
        <v>1330</v>
      </c>
      <c r="F64" s="107">
        <f>IF(B5=Declaration!Q9,1,0)</f>
        <v>0</v>
      </c>
      <c r="G64" s="81">
        <f>IF('Product List'!B6="",1,0)</f>
        <v>1</v>
      </c>
      <c r="H64" s="82">
        <f t="shared" si="14"/>
        <v>0</v>
      </c>
      <c r="I64" s="179" t="str">
        <f ca="1">OFFSET(L!$C$1,MATCH("Checker"&amp;"Comp",L!$A:$A,0)-1,SL,,)</f>
        <v>Vollständig</v>
      </c>
      <c r="J64" s="22"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102" t="s">
        <v>14428</v>
      </c>
      <c r="B65" s="102"/>
      <c r="C65" s="102" t="str">
        <f t="shared" ca="1" si="13"/>
        <v>Vollständig</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Vollständig</v>
      </c>
      <c r="J65" s="22" t="str">
        <f ca="1">OFFSET(L!$C$1,MATCH("Checker"&amp;ADDRESS(ROW(),COLUMN(),4),L!$A:$A,0)-1,SL,,)</f>
        <v xml:space="preserve">Geben Sie im Reiter „Schmelzöfenliste“ eine Liste von Tantalum-Schmelzöfen ein, die Material für die Lieferkette beitragen  </v>
      </c>
      <c r="K65" s="186">
        <f>IF(H14+H19&gt;0,1,0)</f>
        <v>0</v>
      </c>
      <c r="L65" s="22" t="e">
        <f ca="1">OFFSET(L!$C$1,MATCH("Checker"&amp;ADDRESS(ROW(),COLUMN(),4),L!$A:$A,0)-1,SL,,)</f>
        <v>#N/A</v>
      </c>
    </row>
    <row r="66" spans="1:12" ht="39">
      <c r="A66" s="102" t="s">
        <v>1899</v>
      </c>
      <c r="B66" s="102"/>
      <c r="C66" s="102" t="str">
        <f t="shared" ca="1" si="13"/>
        <v>Vollständig</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Vollständig</v>
      </c>
      <c r="J66" s="22" t="str">
        <f ca="1">OFFSET(L!$C$1,MATCH("Checker"&amp;ADDRESS(ROW(),COLUMN(),4),L!$A:$A,0)-1,SL,,)</f>
        <v xml:space="preserve">Geben Sie im Reiter „Schmelzöfenliste“ eine Liste von Zinn-Schmelzöfen ein, die Material für die Lieferkette beitragen  </v>
      </c>
      <c r="K66" s="186">
        <f>IF(H15+H20&gt;0,1,0)</f>
        <v>0</v>
      </c>
      <c r="L66" s="22" t="e">
        <f ca="1">OFFSET(L!$C$1,MATCH("Checker"&amp;ADDRESS(ROW(),COLUMN(),4),L!$A:$A,0)-1,SL,,)</f>
        <v>#N/A</v>
      </c>
    </row>
    <row r="67" spans="1:12" ht="39">
      <c r="A67" s="102" t="s">
        <v>1900</v>
      </c>
      <c r="B67" s="102"/>
      <c r="C67" s="102" t="str">
        <f t="shared" ca="1" si="13"/>
        <v>Vollständig</v>
      </c>
      <c r="D67" s="108" t="str">
        <f ca="1">IF(H67=0,"","Click here to provide smelter information")</f>
        <v/>
      </c>
      <c r="E67" s="84" t="s">
        <v>828</v>
      </c>
      <c r="F67" s="107">
        <f>F26</f>
        <v>0</v>
      </c>
      <c r="G67" s="81">
        <f ca="1">IF(AND(COUNTIF(SmelterIdetifiedForMetal,"Gold")&gt;0,COUNTIF('Smelter List'!AB$5:AB$2504,"Gold?*")&gt;0),0,1)</f>
        <v>1</v>
      </c>
      <c r="H67" s="82">
        <f t="shared" ca="1" si="14"/>
        <v>0</v>
      </c>
      <c r="I67" s="179" t="str">
        <f ca="1">OFFSET(L!$C$1,MATCH("Checker"&amp;"Comp",L!$A:$A,0)-1,SL,,)</f>
        <v>Vollständig</v>
      </c>
      <c r="J67" s="22" t="str">
        <f ca="1">OFFSET(L!$C$1,MATCH("Checker"&amp;ADDRESS(ROW(),COLUMN(),4),L!$A:$A,0)-1,SL,,)</f>
        <v xml:space="preserve">Geben Sie im Reiter „Schmelzöfenliste“ eine Liste von Gold-Schmelzöfen ein, die Material für die Lieferkette beitragen  </v>
      </c>
      <c r="K67" s="186">
        <f>IF(H16+H21&gt;0,1,0)</f>
        <v>0</v>
      </c>
      <c r="L67" s="22" t="e">
        <f ca="1">OFFSET(L!$C$1,MATCH("Checker"&amp;ADDRESS(ROW(),COLUMN(),4),L!$A:$A,0)-1,SL,,)</f>
        <v>#N/A</v>
      </c>
    </row>
    <row r="68" spans="1:12" ht="39">
      <c r="A68" s="102" t="s">
        <v>1901</v>
      </c>
      <c r="B68" s="102"/>
      <c r="C68" s="102" t="str">
        <f t="shared" ca="1" si="13"/>
        <v>Vollständig</v>
      </c>
      <c r="D68" s="108" t="str">
        <f ca="1">IF(H68=0,"","Click here to provide smelter information")</f>
        <v/>
      </c>
      <c r="E68" s="84" t="s">
        <v>828</v>
      </c>
      <c r="F68" s="107">
        <f>F27</f>
        <v>0</v>
      </c>
      <c r="G68" s="81">
        <f ca="1">IF(AND(COUNTIF(SmelterIdetifiedForMetal,"Tungsten")&gt;0,COUNTIF('Smelter List'!AB$5:AB$2504,"Tungsten?*")&gt;0),0,1)</f>
        <v>1</v>
      </c>
      <c r="H68" s="82">
        <f t="shared" ca="1" si="14"/>
        <v>0</v>
      </c>
      <c r="I68" s="179" t="str">
        <f ca="1">OFFSET(L!$C$1,MATCH("Checker"&amp;"Comp",L!$A:$A,0)-1,SL,,)</f>
        <v>Vollständig</v>
      </c>
      <c r="J68" s="22" t="str">
        <f ca="1">OFFSET(L!$C$1,MATCH("Checker"&amp;ADDRESS(ROW(),COLUMN(),4),L!$A:$A,0)-1,SL,,)</f>
        <v xml:space="preserve">Geben Sie im Reiter „Schmelzöfenliste“ eine Liste von Tungsten-Schmelzöfen ein, die Material für die Lieferkette beitragen  </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Vollständig</v>
      </c>
      <c r="J69" s="22" t="s">
        <v>2483</v>
      </c>
      <c r="K69" s="186"/>
      <c r="L69" s="22" t="s">
        <v>2484</v>
      </c>
    </row>
    <row r="70" spans="1:12">
      <c r="H70" s="22">
        <f ca="1">SUM(H4:H69)</f>
        <v>0</v>
      </c>
    </row>
    <row r="71" spans="1:12">
      <c r="A71" s="24"/>
    </row>
    <row r="72" spans="1:12">
      <c r="A72" s="24"/>
    </row>
    <row r="73" spans="1:12" ht="13.5" thickBot="1">
      <c r="A73" s="24"/>
    </row>
  </sheetData>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Abschluss nur erforderlich, wenn die Ebene "Produkt (oder eine Liste von Produkten)" auf der "Erklärung" Arbeitsblatt ausgewählt wurde-</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Produkt- oder Artikelnummer (*)</v>
      </c>
      <c r="C5" s="162" t="str">
        <f ca="1">OFFSET(L!$C$1,MATCH("Product List"&amp;ADDRESS(ROW(),COLUMN(),4),L!$A:$A,0)-1,SL,,)</f>
        <v>Produkt- oder Artikelbeschreibung</v>
      </c>
      <c r="D5" s="85" t="str">
        <f ca="1">OFFSET(L!$C$1,MATCH("Product List"&amp;ADDRESS(ROW(),COLUMN(),4),L!$A:$A,0)-1,SL,,)</f>
        <v>Kommentare</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baseColWidth="10"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Metall</v>
      </c>
      <c r="B4" s="229" t="str">
        <f ca="1">OFFSET(L!$C$1,MATCH("Smelter Look-up"&amp;ADDRESS(ROW(),COLUMN(),4),L!$A:$A,0)-1,SL,,)</f>
        <v>Schmelzofensuche (*)</v>
      </c>
      <c r="C4" s="229" t="str">
        <f ca="1">OFFSET(L!$C$1,MATCH("Smelter Look-up"&amp;ADDRESS(ROW(),COLUMN(),4),L!$A:$A,0)-1,SL,,)</f>
        <v>Standard Schmelzhütten Namen</v>
      </c>
      <c r="D4" s="229" t="str">
        <f ca="1">OFFSET(L!$C$1,MATCH("Smelter Look-up"&amp;ADDRESS(ROW(),COLUMN(),4),L!$A:$A,0)-1,SL,,)</f>
        <v>Schmelzhütte: Land</v>
      </c>
      <c r="E4" s="229" t="str">
        <f ca="1">OFFSET(L!$C$1,MATCH("Smelter Look-up"&amp;ADDRESS(ROW(),COLUMN(),4),L!$A:$A,0)-1,SL,,)</f>
        <v>Schmelzofen-ID</v>
      </c>
      <c r="F4" s="229" t="str">
        <f ca="1">OFFSET(L!$C$1,MATCH("Smelter Look-up"&amp;ADDRESS(ROW(),COLUMN(),4),L!$A:$A,0)-1,SL,,)</f>
        <v>Quelle der Schmelzhütte Id-Nummer</v>
      </c>
      <c r="G4" s="229" t="str">
        <f ca="1">OFFSET(L!$C$1,MATCH("Smelter Look-up"&amp;ADDRESS(ROW(),COLUMN(),4),L!$A:$A,0)-1,SL,,)</f>
        <v>Schmelzhütten: Straße</v>
      </c>
      <c r="H4" s="229" t="str">
        <f ca="1">OFFSET(L!$C$1,MATCH("Smelter Look-up"&amp;ADDRESS(ROW(),COLUMN(),4),L!$A:$A,0)-1,SL,,)</f>
        <v>Schmelzhütten: Stadt</v>
      </c>
      <c r="I4" s="229" t="str">
        <f ca="1">OFFSET(L!$C$1,MATCH("Smelter Look-up"&amp;ADDRESS(ROW(),COLUMN(),4),L!$A:$A,0)-1,SL,,)</f>
        <v>Schmelzhütten: Bundesland/Provinz</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baseColWidth="10"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5">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30">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6.7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05">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84.75">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56.75">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8.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28.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56.2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70.7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0">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8.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ESd/Otten/1509</cp:lastModifiedBy>
  <cp:lastPrinted>2015-04-21T20:47:43Z</cp:lastPrinted>
  <dcterms:created xsi:type="dcterms:W3CDTF">2010-06-21T21:00:23Z</dcterms:created>
  <dcterms:modified xsi:type="dcterms:W3CDTF">2020-07-02T13:02:41Z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